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72.25.131.17\gerencias\geope\01. GEOPE PCO\02. PROJETOS DE MELHORIAS\04. ORÇAMENTOS EM ELABORAÇÃO\UNBSC\2021.10_DISPENSA EXPANSÃO\"/>
    </mc:Choice>
  </mc:AlternateContent>
  <xr:revisionPtr revIDLastSave="0" documentId="13_ncr:1_{9B3747E0-6B0E-4C50-8FBE-4EAD90ABAC54}" xr6:coauthVersionLast="46" xr6:coauthVersionMax="46" xr10:uidLastSave="{00000000-0000-0000-0000-000000000000}"/>
  <bookViews>
    <workbookView xWindow="-120" yWindow="-120" windowWidth="20730" windowHeight="11160" tabRatio="666" xr2:uid="{00000000-000D-0000-FFFF-FFFF00000000}"/>
  </bookViews>
  <sheets>
    <sheet name="Planilha" sheetId="1" r:id="rId1"/>
    <sheet name="Resumo" sheetId="2" r:id="rId2"/>
    <sheet name="Fisico" sheetId="3" r:id="rId3"/>
    <sheet name="Financeiro" sheetId="4" r:id="rId4"/>
    <sheet name="Faturamento Mensal" sheetId="5" r:id="rId5"/>
    <sheet name="Faturamento Acumulado" sheetId="6" r:id="rId6"/>
  </sheets>
  <externalReferences>
    <externalReference r:id="rId7"/>
  </externalReferences>
  <definedNames>
    <definedName name="A" hidden="1">{#N/A,#N/A,FALSE,"Planilha";#N/A,#N/A,FALSE,"Resumo";#N/A,#N/A,FALSE,"Fisico";#N/A,#N/A,FALSE,"Financeiro";#N/A,#N/A,FALSE,"Financeiro"}</definedName>
    <definedName name="_xlnm.Print_Area" localSheetId="3">Financeiro!$A$1:$Z$32</definedName>
    <definedName name="_xlnm.Print_Area" localSheetId="2">Fisico!$A$1:$Z$48</definedName>
    <definedName name="_xlnm.Print_Area" localSheetId="0">Planilha!$A$1:$G$1720</definedName>
    <definedName name="_xlnm.Print_Area" localSheetId="1">Resumo!$A$1:$E$430</definedName>
    <definedName name="BDI">Planilha!$H$2</definedName>
    <definedName name="F_01_120">Fisico!$F$9</definedName>
    <definedName name="F_01_150">Fisico!$G$9</definedName>
    <definedName name="F_01_180">Fisico!$H$9</definedName>
    <definedName name="F_01_210">Fisico!$I$9</definedName>
    <definedName name="F_01_240">Fisico!$J$9</definedName>
    <definedName name="F_01_270">Fisico!$K$9</definedName>
    <definedName name="F_01_30">Fisico!$C$9</definedName>
    <definedName name="F_01_300">Fisico!$L$9</definedName>
    <definedName name="F_01_330">Fisico!$M$9</definedName>
    <definedName name="F_01_360">Fisico!$N$9</definedName>
    <definedName name="F_01_390">Fisico!$O$9</definedName>
    <definedName name="F_01_420">Fisico!$P$9</definedName>
    <definedName name="F_01_450">Fisico!$Q$9</definedName>
    <definedName name="F_01_480">Fisico!$R$9</definedName>
    <definedName name="F_01_510">Fisico!$S$9</definedName>
    <definedName name="F_01_540">Fisico!$T$9</definedName>
    <definedName name="F_01_570">Fisico!$U$9</definedName>
    <definedName name="F_01_60">Fisico!$D$9</definedName>
    <definedName name="F_01_600">Fisico!$V$9</definedName>
    <definedName name="F_01_630">Fisico!$W$9</definedName>
    <definedName name="F_01_660">Fisico!$X$9</definedName>
    <definedName name="F_01_690">Fisico!$Y$9</definedName>
    <definedName name="F_01_720">Fisico!$Z$9</definedName>
    <definedName name="F_01_90">Fisico!$E$9</definedName>
    <definedName name="F_02_120">Fisico!$F$11</definedName>
    <definedName name="F_02_150">Fisico!$G$11</definedName>
    <definedName name="F_02_180">Fisico!$H$11</definedName>
    <definedName name="F_02_210">Fisico!$I$11</definedName>
    <definedName name="F_02_240">Fisico!$J$11</definedName>
    <definedName name="F_02_270">Fisico!$K$11</definedName>
    <definedName name="F_02_30">Fisico!$C$11</definedName>
    <definedName name="F_02_300">Fisico!$L$11</definedName>
    <definedName name="F_02_330">Fisico!$M$11</definedName>
    <definedName name="F_02_360">Fisico!$N$11</definedName>
    <definedName name="F_02_390">Fisico!$O$11</definedName>
    <definedName name="F_02_420">Fisico!$P$11</definedName>
    <definedName name="F_02_450">Fisico!$Q$11</definedName>
    <definedName name="F_02_480">Fisico!$R$11</definedName>
    <definedName name="F_02_510">Fisico!$S$11</definedName>
    <definedName name="F_02_540">Fisico!$T$11</definedName>
    <definedName name="F_02_570">Fisico!$U$11</definedName>
    <definedName name="F_02_60">Fisico!$D$11</definedName>
    <definedName name="F_02_600">Fisico!$V$11</definedName>
    <definedName name="F_02_630">Fisico!$W$11</definedName>
    <definedName name="F_02_660">Fisico!$X$11</definedName>
    <definedName name="F_02_690">Fisico!$Y$11</definedName>
    <definedName name="F_02_720">Fisico!$Z$11</definedName>
    <definedName name="F_02_90">Fisico!$E$11</definedName>
    <definedName name="F_03_120">Fisico!$F$13</definedName>
    <definedName name="F_03_150">Fisico!$G$13</definedName>
    <definedName name="F_03_180">Fisico!$H$13</definedName>
    <definedName name="F_03_210">Fisico!$I$13</definedName>
    <definedName name="F_03_240">Fisico!$J$13</definedName>
    <definedName name="F_03_270">Fisico!$K$13</definedName>
    <definedName name="F_03_30">Fisico!$C$13</definedName>
    <definedName name="F_03_300">Fisico!$L$13</definedName>
    <definedName name="F_03_330">Fisico!$M$13</definedName>
    <definedName name="F_03_360">Fisico!$N$13</definedName>
    <definedName name="F_03_390">Fisico!$O$13</definedName>
    <definedName name="F_03_420">Fisico!$P$13</definedName>
    <definedName name="F_03_450">Fisico!$Q$13</definedName>
    <definedName name="F_03_480">Fisico!$R$13</definedName>
    <definedName name="F_03_510">Fisico!$S$13</definedName>
    <definedName name="F_03_540">Fisico!$T$13</definedName>
    <definedName name="F_03_570">Fisico!$U$13</definedName>
    <definedName name="F_03_60">Fisico!$D$13</definedName>
    <definedName name="F_03_600">Fisico!$V$13</definedName>
    <definedName name="F_03_630">Fisico!$W$13</definedName>
    <definedName name="F_03_660">Fisico!$X$13</definedName>
    <definedName name="F_03_690">Fisico!$Y$13</definedName>
    <definedName name="F_03_720">Fisico!$Z$13</definedName>
    <definedName name="F_03_90">Fisico!$E$13</definedName>
    <definedName name="F_04_120">Fisico!$F$15</definedName>
    <definedName name="F_04_150">Fisico!$G$15</definedName>
    <definedName name="F_04_180">Fisico!$H$15</definedName>
    <definedName name="F_04_210">Fisico!$I$15</definedName>
    <definedName name="F_04_240">Fisico!$J$15</definedName>
    <definedName name="F_04_270">Fisico!$K$15</definedName>
    <definedName name="F_04_30">Fisico!$C$15</definedName>
    <definedName name="F_04_300">Fisico!$L$15</definedName>
    <definedName name="F_04_330">Fisico!$M$15</definedName>
    <definedName name="F_04_360">Fisico!$N$15</definedName>
    <definedName name="F_04_390">Fisico!$O$15</definedName>
    <definedName name="F_04_420">Fisico!$P$15</definedName>
    <definedName name="F_04_450">Fisico!$Q$15</definedName>
    <definedName name="F_04_480">Fisico!$R$15</definedName>
    <definedName name="F_04_510">Fisico!$S$15</definedName>
    <definedName name="F_04_540">Fisico!$T$15</definedName>
    <definedName name="F_04_570">Fisico!$U$15</definedName>
    <definedName name="F_04_60">Fisico!$D$15</definedName>
    <definedName name="F_04_600">Fisico!$V$15</definedName>
    <definedName name="F_04_630">Fisico!$W$15</definedName>
    <definedName name="F_04_660">Fisico!$X$15</definedName>
    <definedName name="F_04_690">Fisico!$Y$15</definedName>
    <definedName name="F_04_720">Fisico!$Z$15</definedName>
    <definedName name="F_04_90">Fisico!$E$15</definedName>
    <definedName name="F_05_120">Fisico!$F$17</definedName>
    <definedName name="F_05_150">Fisico!$G$17</definedName>
    <definedName name="F_05_180">Fisico!$H$17</definedName>
    <definedName name="F_05_210">Fisico!$I$17</definedName>
    <definedName name="F_05_240">Fisico!$J$17</definedName>
    <definedName name="F_05_270">Fisico!$K$17</definedName>
    <definedName name="F_05_30">Fisico!$C$17</definedName>
    <definedName name="F_05_300">Fisico!$L$17</definedName>
    <definedName name="F_05_330">Fisico!$M$17</definedName>
    <definedName name="F_05_360">Fisico!$N$17</definedName>
    <definedName name="F_05_390">Fisico!$O$17</definedName>
    <definedName name="F_05_420">Fisico!$P$17</definedName>
    <definedName name="F_05_450">Fisico!$Q$17</definedName>
    <definedName name="F_05_480">Fisico!$R$17</definedName>
    <definedName name="F_05_510">Fisico!$S$17</definedName>
    <definedName name="F_05_540">Fisico!$T$17</definedName>
    <definedName name="F_05_570">Fisico!$U$17</definedName>
    <definedName name="F_05_60">Fisico!$D$17</definedName>
    <definedName name="F_05_600">Fisico!$V$17</definedName>
    <definedName name="F_05_630">Fisico!$W$17</definedName>
    <definedName name="F_05_660">Fisico!$X$17</definedName>
    <definedName name="F_05_690">Fisico!$Y$17</definedName>
    <definedName name="F_05_720">Fisico!$Z$17</definedName>
    <definedName name="F_05_90">Fisico!$E$17</definedName>
    <definedName name="F_06_120">Fisico!$F$19</definedName>
    <definedName name="F_06_150">Fisico!$G$19</definedName>
    <definedName name="F_06_180">Fisico!$H$19</definedName>
    <definedName name="F_06_210">Fisico!$I$19</definedName>
    <definedName name="F_06_240">Fisico!$J$19</definedName>
    <definedName name="F_06_270">Fisico!$K$19</definedName>
    <definedName name="F_06_30">Fisico!$C$19</definedName>
    <definedName name="F_06_300">Fisico!$L$19</definedName>
    <definedName name="F_06_330">Fisico!$M$19</definedName>
    <definedName name="F_06_360">Fisico!$N$19</definedName>
    <definedName name="F_06_390">Fisico!$O$19</definedName>
    <definedName name="F_06_420">Fisico!$P$19</definedName>
    <definedName name="F_06_450">Fisico!$Q$19</definedName>
    <definedName name="F_06_480">Fisico!$R$19</definedName>
    <definedName name="F_06_510">Fisico!$S$19</definedName>
    <definedName name="F_06_540">Fisico!$T$19</definedName>
    <definedName name="F_06_570">Fisico!$U$19</definedName>
    <definedName name="F_06_60">Fisico!$D$19</definedName>
    <definedName name="F_06_600">Fisico!$V$19</definedName>
    <definedName name="F_06_630">Fisico!$W$19</definedName>
    <definedName name="F_06_660">Fisico!$X$19</definedName>
    <definedName name="F_06_690">Fisico!$Y$19</definedName>
    <definedName name="F_06_720">Fisico!$Z$19</definedName>
    <definedName name="F_06_90">Fisico!$E$19</definedName>
    <definedName name="F_07_120">Fisico!$F$21</definedName>
    <definedName name="F_07_150">Fisico!$G$21</definedName>
    <definedName name="F_07_180">Fisico!$H$21</definedName>
    <definedName name="F_07_210">Fisico!$I$21</definedName>
    <definedName name="F_07_240">Fisico!$J$21</definedName>
    <definedName name="F_07_270">Fisico!$K$21</definedName>
    <definedName name="F_07_30">Fisico!$C$21</definedName>
    <definedName name="F_07_300">Fisico!$L$21</definedName>
    <definedName name="F_07_330">Fisico!$M$21</definedName>
    <definedName name="F_07_360">Fisico!$N$21</definedName>
    <definedName name="F_07_390">Fisico!$O$21</definedName>
    <definedName name="F_07_420">Fisico!$P$21</definedName>
    <definedName name="F_07_450">Fisico!$Q$21</definedName>
    <definedName name="F_07_480">Fisico!$R$21</definedName>
    <definedName name="F_07_510">Fisico!$S$21</definedName>
    <definedName name="F_07_540">Fisico!$T$21</definedName>
    <definedName name="F_07_570">Fisico!$U$21</definedName>
    <definedName name="F_07_60">Fisico!$D$21</definedName>
    <definedName name="F_07_600">Fisico!$V$21</definedName>
    <definedName name="F_07_630">Fisico!$W$21</definedName>
    <definedName name="F_07_660">Fisico!$X$21</definedName>
    <definedName name="F_07_690">Fisico!$Y$21</definedName>
    <definedName name="F_07_720">Fisico!$Z$21</definedName>
    <definedName name="F_07_90">Fisico!$E$21</definedName>
    <definedName name="F_08_120">Fisico!$F$23</definedName>
    <definedName name="F_08_150">Fisico!$G$23</definedName>
    <definedName name="F_08_180">Fisico!$H$23</definedName>
    <definedName name="F_08_210">Fisico!$I$23</definedName>
    <definedName name="F_08_240">Fisico!$J$23</definedName>
    <definedName name="F_08_270">Fisico!$K$23</definedName>
    <definedName name="F_08_30">Fisico!$C$23</definedName>
    <definedName name="F_08_300">Fisico!$L$23</definedName>
    <definedName name="F_08_330">Fisico!$M$23</definedName>
    <definedName name="F_08_360">Fisico!$N$23</definedName>
    <definedName name="F_08_390">Fisico!$O$23</definedName>
    <definedName name="F_08_420">Fisico!$P$23</definedName>
    <definedName name="F_08_450">Fisico!$Q$23</definedName>
    <definedName name="F_08_480">Fisico!$R$23</definedName>
    <definedName name="F_08_510">Fisico!$S$23</definedName>
    <definedName name="F_08_540">Fisico!$T$23</definedName>
    <definedName name="F_08_570">Fisico!$U$23</definedName>
    <definedName name="F_08_60">Fisico!$D$23</definedName>
    <definedName name="F_08_600">Fisico!$V$23</definedName>
    <definedName name="F_08_630">Fisico!$W$23</definedName>
    <definedName name="F_08_660">Fisico!$X$23</definedName>
    <definedName name="F_08_690">Fisico!$Y$23</definedName>
    <definedName name="F_08_720">Fisico!$Z$23</definedName>
    <definedName name="F_08_90">Fisico!$E$23</definedName>
    <definedName name="F_09_120">Fisico!$F$25</definedName>
    <definedName name="F_09_150">Fisico!$G$25</definedName>
    <definedName name="F_09_180">Fisico!$H$25</definedName>
    <definedName name="F_09_210">Fisico!$I$25</definedName>
    <definedName name="F_09_240">Fisico!$J$25</definedName>
    <definedName name="F_09_270">Fisico!$K$25</definedName>
    <definedName name="F_09_30">Fisico!$C$25</definedName>
    <definedName name="F_09_300">Fisico!$L$25</definedName>
    <definedName name="F_09_330">Fisico!$M$25</definedName>
    <definedName name="F_09_360">Fisico!$N$25</definedName>
    <definedName name="F_09_390">Fisico!$O$25</definedName>
    <definedName name="F_09_420">Fisico!$P$25</definedName>
    <definedName name="F_09_450">Fisico!$Q$25</definedName>
    <definedName name="F_09_480">Fisico!$R$25</definedName>
    <definedName name="F_09_510">Fisico!$S$25</definedName>
    <definedName name="F_09_540">Fisico!$T$25</definedName>
    <definedName name="F_09_570">Fisico!$U$25</definedName>
    <definedName name="F_09_60">Fisico!$D$25</definedName>
    <definedName name="F_09_600">Fisico!$V$25</definedName>
    <definedName name="F_09_630">Fisico!$W$25</definedName>
    <definedName name="F_09_660">Fisico!$X$25</definedName>
    <definedName name="F_09_690">Fisico!$Y$25</definedName>
    <definedName name="F_09_720">Fisico!$Z$25</definedName>
    <definedName name="F_09_90">Fisico!$E$25</definedName>
    <definedName name="F_10_120">Fisico!$F$27</definedName>
    <definedName name="F_10_150">Fisico!$G$27</definedName>
    <definedName name="F_10_180">Fisico!$H$27</definedName>
    <definedName name="F_10_210">Fisico!$I$27</definedName>
    <definedName name="F_10_240">Fisico!$J$27</definedName>
    <definedName name="F_10_270">Fisico!$K$27</definedName>
    <definedName name="F_10_30">Fisico!$C$27</definedName>
    <definedName name="F_10_300">Fisico!$L$27</definedName>
    <definedName name="F_10_330">Fisico!$M$27</definedName>
    <definedName name="F_10_360">Fisico!$N$27</definedName>
    <definedName name="F_10_390">Fisico!$O$27</definedName>
    <definedName name="F_10_420">Fisico!$P$27</definedName>
    <definedName name="F_10_450">Fisico!$Q$27</definedName>
    <definedName name="F_10_480">Fisico!$R$27</definedName>
    <definedName name="F_10_510">Fisico!$S$27</definedName>
    <definedName name="F_10_540">Fisico!$T$27</definedName>
    <definedName name="F_10_570">Fisico!$U$27</definedName>
    <definedName name="F_10_60">Fisico!$D$27</definedName>
    <definedName name="F_10_600">Fisico!$V$27</definedName>
    <definedName name="F_10_630">Fisico!$W$27</definedName>
    <definedName name="F_10_660">Fisico!$X$27</definedName>
    <definedName name="F_10_690">Fisico!$Y$27</definedName>
    <definedName name="F_10_720">Fisico!$Z$27</definedName>
    <definedName name="F_10_90">Fisico!$E$27</definedName>
    <definedName name="F_11_120">Fisico!$F$29</definedName>
    <definedName name="F_11_150">Fisico!$G$29</definedName>
    <definedName name="F_11_180">Fisico!$H$29</definedName>
    <definedName name="F_11_210">Fisico!$I$29</definedName>
    <definedName name="F_11_240">Fisico!$J$29</definedName>
    <definedName name="F_11_270">Fisico!$K$29</definedName>
    <definedName name="F_11_30">Fisico!$C$29</definedName>
    <definedName name="F_11_300">Fisico!$L$29</definedName>
    <definedName name="F_11_330">Fisico!$M$29</definedName>
    <definedName name="F_11_360">Fisico!$N$29</definedName>
    <definedName name="F_11_390">Fisico!$O$29</definedName>
    <definedName name="F_11_420">Fisico!$P$29</definedName>
    <definedName name="F_11_450">Fisico!$Q$29</definedName>
    <definedName name="F_11_480">Fisico!$R$29</definedName>
    <definedName name="F_11_510">Fisico!$S$29</definedName>
    <definedName name="F_11_540">Fisico!$T$29</definedName>
    <definedName name="F_11_570">Fisico!$U$29</definedName>
    <definedName name="F_11_60">Fisico!$D$29</definedName>
    <definedName name="F_11_600">Fisico!$V$29</definedName>
    <definedName name="F_11_630">Fisico!$W$29</definedName>
    <definedName name="F_11_660">Fisico!$X$29</definedName>
    <definedName name="F_11_690">Fisico!$Y$29</definedName>
    <definedName name="F_11_720">Fisico!$Z$29</definedName>
    <definedName name="F_11_90">Fisico!$E$29</definedName>
    <definedName name="F_12_120">Fisico!$F$31</definedName>
    <definedName name="F_12_150">Fisico!$G$31</definedName>
    <definedName name="F_12_180">Fisico!$H$31</definedName>
    <definedName name="F_12_210">Fisico!$I$31</definedName>
    <definedName name="F_12_240">Fisico!$J$31</definedName>
    <definedName name="F_12_270">Fisico!$K$31</definedName>
    <definedName name="F_12_30">Fisico!$C$31</definedName>
    <definedName name="F_12_300">Fisico!$L$31</definedName>
    <definedName name="F_12_330">Fisico!$M$31</definedName>
    <definedName name="F_12_360">Fisico!$N$31</definedName>
    <definedName name="F_12_390">Fisico!$O$31</definedName>
    <definedName name="F_12_420">Fisico!$P$31</definedName>
    <definedName name="F_12_450">Fisico!$Q$31</definedName>
    <definedName name="F_12_480">Fisico!$R$31</definedName>
    <definedName name="F_12_510">Fisico!$S$31</definedName>
    <definedName name="F_12_540">Fisico!$T$31</definedName>
    <definedName name="F_12_570">Fisico!$U$31</definedName>
    <definedName name="F_12_60">Fisico!$D$31</definedName>
    <definedName name="F_12_600">Fisico!$V$31</definedName>
    <definedName name="F_12_630">Fisico!$W$31</definedName>
    <definedName name="F_12_660">Fisico!$X$31</definedName>
    <definedName name="F_12_690">Fisico!$Y$31</definedName>
    <definedName name="F_12_720">Fisico!$Z$31</definedName>
    <definedName name="F_12_90">Fisico!$E$31</definedName>
    <definedName name="F_13_120">Fisico!$F$33</definedName>
    <definedName name="F_13_150">Fisico!$G$33</definedName>
    <definedName name="F_13_180">Fisico!$H$33</definedName>
    <definedName name="F_13_210">Fisico!$I$33</definedName>
    <definedName name="F_13_240">Fisico!$J$33</definedName>
    <definedName name="F_13_270">Fisico!$K$33</definedName>
    <definedName name="F_13_30">Fisico!$C$33</definedName>
    <definedName name="F_13_300">Fisico!$L$33</definedName>
    <definedName name="F_13_330">Fisico!$M$33</definedName>
    <definedName name="F_13_360">Fisico!$N$33</definedName>
    <definedName name="F_13_390">Fisico!$O$33</definedName>
    <definedName name="F_13_420">Fisico!$P$33</definedName>
    <definedName name="F_13_450">Fisico!$Q$33</definedName>
    <definedName name="F_13_480">Fisico!$R$33</definedName>
    <definedName name="F_13_510">Fisico!$S$33</definedName>
    <definedName name="F_13_540">Fisico!$T$33</definedName>
    <definedName name="F_13_570">Fisico!$U$33</definedName>
    <definedName name="F_13_60">Fisico!$D$33</definedName>
    <definedName name="F_13_600">Fisico!$V$33</definedName>
    <definedName name="F_13_630">Fisico!$W$33</definedName>
    <definedName name="F_13_660">Fisico!$X$33</definedName>
    <definedName name="F_13_690">Fisico!$Y$33</definedName>
    <definedName name="F_13_720">Fisico!$Z$33</definedName>
    <definedName name="F_13_90">Fisico!$E$33</definedName>
    <definedName name="F_14_120">Fisico!$F$35</definedName>
    <definedName name="F_14_150">Fisico!$G$35</definedName>
    <definedName name="F_14_180">Fisico!$H$35</definedName>
    <definedName name="F_14_210">Fisico!$I$35</definedName>
    <definedName name="F_14_240">Fisico!$J$35</definedName>
    <definedName name="F_14_270">Fisico!$K$35</definedName>
    <definedName name="F_14_30">Fisico!$C$35</definedName>
    <definedName name="F_14_300">Fisico!$L$35</definedName>
    <definedName name="F_14_330">Fisico!$M$35</definedName>
    <definedName name="F_14_360">Fisico!$N$35</definedName>
    <definedName name="F_14_390">Fisico!$O$35</definedName>
    <definedName name="F_14_420">Fisico!$P$35</definedName>
    <definedName name="F_14_450">Fisico!$Q$35</definedName>
    <definedName name="F_14_480">Fisico!$R$35</definedName>
    <definedName name="F_14_510">Fisico!$S$35</definedName>
    <definedName name="F_14_540">Fisico!$T$35</definedName>
    <definedName name="F_14_570">Fisico!$U$35</definedName>
    <definedName name="F_14_60">Fisico!$D$35</definedName>
    <definedName name="F_14_600">Fisico!$V$35</definedName>
    <definedName name="F_14_630">Fisico!$W$35</definedName>
    <definedName name="F_14_660">Fisico!$X$35</definedName>
    <definedName name="F_14_690">Fisico!$Y$35</definedName>
    <definedName name="F_14_720">Fisico!$Z$35</definedName>
    <definedName name="F_14_90">Fisico!$E$35</definedName>
    <definedName name="F_15_120">Fisico!$F$37</definedName>
    <definedName name="F_15_150">Fisico!$G$37</definedName>
    <definedName name="F_15_180">Fisico!$H$37</definedName>
    <definedName name="F_15_210">Fisico!$I$37</definedName>
    <definedName name="F_15_240">Fisico!$J$37</definedName>
    <definedName name="F_15_270">Fisico!$K$37</definedName>
    <definedName name="F_15_30">Fisico!$C$37</definedName>
    <definedName name="F_15_300">Fisico!$L$37</definedName>
    <definedName name="F_15_330">Fisico!$M$37</definedName>
    <definedName name="F_15_360">Fisico!$N$37</definedName>
    <definedName name="F_15_390">Fisico!$O$37</definedName>
    <definedName name="F_15_420">Fisico!$P$37</definedName>
    <definedName name="F_15_450">Fisico!$Q$37</definedName>
    <definedName name="F_15_480">Fisico!$R$37</definedName>
    <definedName name="F_15_510">Fisico!$S$37</definedName>
    <definedName name="F_15_540">Fisico!$T$37</definedName>
    <definedName name="F_15_570">Fisico!$U$37</definedName>
    <definedName name="F_15_60">Fisico!$D$37</definedName>
    <definedName name="F_15_600">Fisico!$V$37</definedName>
    <definedName name="F_15_630">Fisico!$W$37</definedName>
    <definedName name="F_15_660">Fisico!$X$37</definedName>
    <definedName name="F_15_690">Fisico!$Y$37</definedName>
    <definedName name="F_15_720">Fisico!$Z$37</definedName>
    <definedName name="F_15_90">Fisico!$E$37</definedName>
    <definedName name="F_16_120">Fisico!$F$39</definedName>
    <definedName name="F_16_150">Fisico!$G$39</definedName>
    <definedName name="F_16_180">Fisico!$H$39</definedName>
    <definedName name="F_16_210">Fisico!$I$39</definedName>
    <definedName name="F_16_240">Fisico!$J$39</definedName>
    <definedName name="F_16_270">Fisico!$K$39</definedName>
    <definedName name="F_16_30">Fisico!$C$39</definedName>
    <definedName name="F_16_300">Fisico!$L$39</definedName>
    <definedName name="F_16_330">Fisico!$M$39</definedName>
    <definedName name="F_16_360">Fisico!$N$39</definedName>
    <definedName name="F_16_390">Fisico!$O$39</definedName>
    <definedName name="F_16_420">Fisico!$P$39</definedName>
    <definedName name="F_16_450">Fisico!$Q$39</definedName>
    <definedName name="F_16_480">Fisico!$R$39</definedName>
    <definedName name="F_16_510">Fisico!$S$39</definedName>
    <definedName name="F_16_540">Fisico!$T$39</definedName>
    <definedName name="F_16_570">Fisico!$U$39</definedName>
    <definedName name="F_16_60">Fisico!$D$39</definedName>
    <definedName name="F_16_600">Fisico!$V$39</definedName>
    <definedName name="F_16_630">Fisico!$W$39</definedName>
    <definedName name="F_16_660">Fisico!$X$39</definedName>
    <definedName name="F_16_690">Fisico!$Y$39</definedName>
    <definedName name="F_16_720">Fisico!$Z$39</definedName>
    <definedName name="F_16_90">Fisico!$E$39</definedName>
    <definedName name="F_17_120">Fisico!$F$41</definedName>
    <definedName name="F_17_150">Fisico!$G$41</definedName>
    <definedName name="F_17_180">Fisico!$H$41</definedName>
    <definedName name="F_17_210">Fisico!$I$41</definedName>
    <definedName name="F_17_240">Fisico!$J$41</definedName>
    <definedName name="F_17_270">Fisico!$K$41</definedName>
    <definedName name="F_17_30">Fisico!$C$41</definedName>
    <definedName name="F_17_300">Fisico!$L$41</definedName>
    <definedName name="F_17_330">Fisico!$M$41</definedName>
    <definedName name="F_17_360">Fisico!$N$41</definedName>
    <definedName name="F_17_390">Fisico!$O$41</definedName>
    <definedName name="F_17_420">Fisico!$P$41</definedName>
    <definedName name="F_17_450">Fisico!$Q$41</definedName>
    <definedName name="F_17_480">Fisico!$R$41</definedName>
    <definedName name="F_17_510">Fisico!$S$41</definedName>
    <definedName name="F_17_540">Fisico!$T$41</definedName>
    <definedName name="F_17_570">Fisico!$U$41</definedName>
    <definedName name="F_17_60">Fisico!$D$41</definedName>
    <definedName name="F_17_600">Fisico!$V$41</definedName>
    <definedName name="F_17_630">Fisico!$W$41</definedName>
    <definedName name="F_17_660">Fisico!$X$41</definedName>
    <definedName name="F_17_690">Fisico!$Y$41</definedName>
    <definedName name="F_17_720">Fisico!$Z$41</definedName>
    <definedName name="F_17_90">Fisico!$E$41</definedName>
    <definedName name="F_18_120">Fisico!$F$43</definedName>
    <definedName name="F_18_150">Fisico!$G$43</definedName>
    <definedName name="F_18_180">Fisico!$H$43</definedName>
    <definedName name="F_18_210">Fisico!$I$43</definedName>
    <definedName name="F_18_240">Fisico!$J$43</definedName>
    <definedName name="F_18_270">Fisico!$K$43</definedName>
    <definedName name="F_18_30">Fisico!$C$43</definedName>
    <definedName name="F_18_300">Fisico!$L$43</definedName>
    <definedName name="F_18_330">Fisico!$M$43</definedName>
    <definedName name="F_18_360">Fisico!$N$43</definedName>
    <definedName name="F_18_390">Fisico!$O$43</definedName>
    <definedName name="F_18_420">Fisico!$P$43</definedName>
    <definedName name="F_18_450">Fisico!$Q$43</definedName>
    <definedName name="F_18_480">Fisico!$R$43</definedName>
    <definedName name="F_18_510">Fisico!$S$43</definedName>
    <definedName name="F_18_540">Fisico!$T$43</definedName>
    <definedName name="F_18_570">Fisico!$U$43</definedName>
    <definedName name="F_18_60">Fisico!$D$43</definedName>
    <definedName name="F_18_600">Fisico!$V$43</definedName>
    <definedName name="F_18_630">Fisico!$W$43</definedName>
    <definedName name="F_18_660">Fisico!$X$43</definedName>
    <definedName name="F_18_690">Fisico!$Y$43</definedName>
    <definedName name="F_18_720">Fisico!$Z$43</definedName>
    <definedName name="F_18_90">Fisico!$E$43</definedName>
    <definedName name="F_19_120">Fisico!$F$45</definedName>
    <definedName name="F_19_150">Fisico!$G$45</definedName>
    <definedName name="F_19_180">Fisico!$H$45</definedName>
    <definedName name="F_19_210">Fisico!$I$45</definedName>
    <definedName name="F_19_240">Fisico!$J$45</definedName>
    <definedName name="F_19_270">Fisico!$K$45</definedName>
    <definedName name="F_19_30">Fisico!$C$45</definedName>
    <definedName name="F_19_300">Fisico!$L$45</definedName>
    <definedName name="F_19_330">Fisico!$M$45</definedName>
    <definedName name="F_19_360">Fisico!$N$45</definedName>
    <definedName name="F_19_390">Fisico!$O$45</definedName>
    <definedName name="F_19_420">Fisico!$P$45</definedName>
    <definedName name="F_19_450">Fisico!$Q$45</definedName>
    <definedName name="F_19_480">Fisico!$R$45</definedName>
    <definedName name="F_19_510">Fisico!$S$45</definedName>
    <definedName name="F_19_540">Fisico!$T$45</definedName>
    <definedName name="F_19_570">Fisico!$U$45</definedName>
    <definedName name="F_19_60">Fisico!$D$45</definedName>
    <definedName name="F_19_600">Fisico!$V$45</definedName>
    <definedName name="F_19_630">Fisico!$W$45</definedName>
    <definedName name="F_19_660">Fisico!$X$45</definedName>
    <definedName name="F_19_690">Fisico!$Y$45</definedName>
    <definedName name="F_19_720">Fisico!$Z$45</definedName>
    <definedName name="F_19_90">Fisico!$E$45</definedName>
    <definedName name="F_20_120">Fisico!$F$47</definedName>
    <definedName name="F_20_150">Fisico!$G$47</definedName>
    <definedName name="F_20_180">Fisico!$H$47</definedName>
    <definedName name="F_20_210">Fisico!$I$47</definedName>
    <definedName name="F_20_240">Fisico!$J$47</definedName>
    <definedName name="F_20_270">Fisico!$K$47</definedName>
    <definedName name="F_20_30">Fisico!$C$47</definedName>
    <definedName name="F_20_300">Fisico!$L$47</definedName>
    <definedName name="F_20_330">Fisico!$M$47</definedName>
    <definedName name="F_20_360">Fisico!$N$47</definedName>
    <definedName name="F_20_390">Fisico!$O$47</definedName>
    <definedName name="F_20_420">Fisico!$P$47</definedName>
    <definedName name="F_20_450">Fisico!$Q$47</definedName>
    <definedName name="F_20_480">Fisico!$R$47</definedName>
    <definedName name="F_20_510">Fisico!$S$47</definedName>
    <definedName name="F_20_540">Fisico!$T$47</definedName>
    <definedName name="F_20_570">Fisico!$U$47</definedName>
    <definedName name="F_20_60">Fisico!$D$47</definedName>
    <definedName name="F_20_600">Fisico!$V$47</definedName>
    <definedName name="F_20_630">Fisico!$W$47</definedName>
    <definedName name="F_20_660">Fisico!$X$47</definedName>
    <definedName name="F_20_690">Fisico!$Y$47</definedName>
    <definedName name="F_20_720">Fisico!$Z$47</definedName>
    <definedName name="F_20_90">Fisico!$E$47</definedName>
    <definedName name="FATOR">Planilha!$H$4</definedName>
    <definedName name="G_01">Planilha!$G$9</definedName>
    <definedName name="G_02">Planilha!$G$109</definedName>
    <definedName name="G_03">Planilha!$G$203</definedName>
    <definedName name="G_04">Planilha!$G$314</definedName>
    <definedName name="G_05">Planilha!$G$408</definedName>
    <definedName name="G_06">Planilha!$G$490</definedName>
    <definedName name="G_07">Planilha!$G$572</definedName>
    <definedName name="G_08">Planilha!$G$654</definedName>
    <definedName name="G_09">Planilha!$G$736</definedName>
    <definedName name="G_10">Planilha!$G$818</definedName>
    <definedName name="G_11">Planilha!$G$900</definedName>
    <definedName name="G_12">Planilha!$G$982</definedName>
    <definedName name="G_13">Planilha!$G$1064</definedName>
    <definedName name="G_14">Planilha!$G$1146</definedName>
    <definedName name="G_15">Planilha!$G$1228</definedName>
    <definedName name="G_16">Planilha!$G$1310</definedName>
    <definedName name="G_17">Planilha!$G$1392</definedName>
    <definedName name="G_18">Planilha!$G$1474</definedName>
    <definedName name="G_19">Planilha!$G$1556</definedName>
    <definedName name="G_20">Planilha!$G$1638</definedName>
    <definedName name="Preço_Unitário">Planilha!$F$11:$F$1718</definedName>
    <definedName name="Quantidade">Planilha!$E$11:$E$1718</definedName>
    <definedName name="SG_01_01">Planilha!$G$10</definedName>
    <definedName name="SG_01_02">Planilha!$G$14</definedName>
    <definedName name="SG_01_03">Planilha!$G$27</definedName>
    <definedName name="SG_01_04">Planilha!$G$40</definedName>
    <definedName name="SG_01_05">Planilha!$G$44</definedName>
    <definedName name="SG_01_06">Planilha!$G$48</definedName>
    <definedName name="SG_01_07">Planilha!$G$52</definedName>
    <definedName name="SG_01_08">Planilha!$G$56</definedName>
    <definedName name="SG_01_09">Planilha!$G$60</definedName>
    <definedName name="SG_01_10">Planilha!$G$64</definedName>
    <definedName name="SG_01_11">Planilha!$G$68</definedName>
    <definedName name="SG_01_12">Planilha!$G$72</definedName>
    <definedName name="SG_01_13">Planilha!$G$76</definedName>
    <definedName name="SG_01_14">Planilha!$G$80</definedName>
    <definedName name="SG_01_15">Planilha!$G$84</definedName>
    <definedName name="SG_01_16">Planilha!$G$88</definedName>
    <definedName name="SG_01_17">Planilha!$G$92</definedName>
    <definedName name="SG_01_18">Planilha!$G$96</definedName>
    <definedName name="SG_01_19">Planilha!$G$100</definedName>
    <definedName name="SG_01_20">Planilha!$G$104</definedName>
    <definedName name="SG_02_01">Planilha!$G$110</definedName>
    <definedName name="SG_02_02">Planilha!$G$115</definedName>
    <definedName name="SG_02_03">Planilha!$G$123</definedName>
    <definedName name="SG_02_04">Planilha!$G$127</definedName>
    <definedName name="SG_02_05">Planilha!$G$131</definedName>
    <definedName name="SG_02_06">Planilha!$G$135</definedName>
    <definedName name="SG_02_07">Planilha!$G$146</definedName>
    <definedName name="SG_02_08">Planilha!$G$150</definedName>
    <definedName name="SG_02_09">Planilha!$G$154</definedName>
    <definedName name="SG_02_10">Planilha!$G$158</definedName>
    <definedName name="SG_02_11">Planilha!$G$162</definedName>
    <definedName name="SG_02_12">Planilha!$G$166</definedName>
    <definedName name="SG_02_13">Planilha!$G$170</definedName>
    <definedName name="SG_02_14">Planilha!$G$174</definedName>
    <definedName name="SG_02_15">Planilha!$G$178</definedName>
    <definedName name="SG_02_16">Planilha!$G$182</definedName>
    <definedName name="SG_02_17">Planilha!$G$186</definedName>
    <definedName name="SG_02_18">Planilha!$G$190</definedName>
    <definedName name="SG_02_19">Planilha!$G$194</definedName>
    <definedName name="SG_02_20">Planilha!$G$198</definedName>
    <definedName name="SG_03_01">Planilha!$G$204</definedName>
    <definedName name="SG_03_02">Planilha!$G$211</definedName>
    <definedName name="SG_03_03">Planilha!$G$218</definedName>
    <definedName name="SG_03_04">Planilha!$G$224</definedName>
    <definedName name="SG_03_05">Planilha!$G$232</definedName>
    <definedName name="SG_03_06">Planilha!$G$239</definedName>
    <definedName name="SG_03_07">Planilha!$G$257</definedName>
    <definedName name="SG_03_08">Planilha!$G$261</definedName>
    <definedName name="SG_03_09">Planilha!$G$265</definedName>
    <definedName name="SG_03_10">Planilha!$G$269</definedName>
    <definedName name="SG_03_11">Planilha!$G$273</definedName>
    <definedName name="SG_03_12">Planilha!$G$277</definedName>
    <definedName name="SG_03_13">Planilha!$G$281</definedName>
    <definedName name="SG_03_14">Planilha!$G$285</definedName>
    <definedName name="SG_03_15">Planilha!$G$289</definedName>
    <definedName name="SG_03_16">Planilha!$G$293</definedName>
    <definedName name="SG_03_17">Planilha!$G$297</definedName>
    <definedName name="SG_03_18">Planilha!$G$301</definedName>
    <definedName name="SG_03_19">Planilha!$G$305</definedName>
    <definedName name="SG_03_20">Planilha!$G$309</definedName>
    <definedName name="SG_04_01">Planilha!$G$315</definedName>
    <definedName name="SG_04_02">Planilha!$G$331</definedName>
    <definedName name="SG_04_03">Planilha!$G$335</definedName>
    <definedName name="SG_04_04">Planilha!$G$339</definedName>
    <definedName name="SG_04_05">Planilha!$G$343</definedName>
    <definedName name="SG_04_06">Planilha!$G$347</definedName>
    <definedName name="SG_04_07">Planilha!$G$351</definedName>
    <definedName name="SG_04_08">Planilha!$G$355</definedName>
    <definedName name="SG_04_09">Planilha!$G$359</definedName>
    <definedName name="SG_04_10">Planilha!$G$363</definedName>
    <definedName name="SG_04_11">Planilha!$G$367</definedName>
    <definedName name="SG_04_12">Planilha!$G$371</definedName>
    <definedName name="SG_04_13">Planilha!$G$375</definedName>
    <definedName name="SG_04_14">Planilha!$G$379</definedName>
    <definedName name="SG_04_15">Planilha!$G$383</definedName>
    <definedName name="SG_04_16">Planilha!$G$387</definedName>
    <definedName name="SG_04_17">Planilha!$G$391</definedName>
    <definedName name="SG_04_18">Planilha!$G$395</definedName>
    <definedName name="SG_04_19">Planilha!$G$399</definedName>
    <definedName name="SG_04_20">Planilha!$G$403</definedName>
    <definedName name="SG_05_01">Planilha!$G$409</definedName>
    <definedName name="SG_05_02">Planilha!$G$413</definedName>
    <definedName name="SG_05_03">Planilha!$G$417</definedName>
    <definedName name="SG_05_04">Planilha!$G$421</definedName>
    <definedName name="SG_05_05">Planilha!$G$425</definedName>
    <definedName name="SG_05_06">Planilha!$G$429</definedName>
    <definedName name="SG_05_07">Planilha!$G$433</definedName>
    <definedName name="SG_05_08">Planilha!$G$437</definedName>
    <definedName name="SG_05_09">Planilha!$G$441</definedName>
    <definedName name="SG_05_10">Planilha!$G$445</definedName>
    <definedName name="SG_05_11">Planilha!$G$449</definedName>
    <definedName name="SG_05_12">Planilha!$G$453</definedName>
    <definedName name="SG_05_13">Planilha!$G$457</definedName>
    <definedName name="SG_05_14">Planilha!$G$461</definedName>
    <definedName name="SG_05_15">Planilha!$G$465</definedName>
    <definedName name="SG_05_16">Planilha!$G$469</definedName>
    <definedName name="SG_05_17">Planilha!$G$473</definedName>
    <definedName name="SG_05_18">Planilha!$G$477</definedName>
    <definedName name="SG_05_19">Planilha!$G$481</definedName>
    <definedName name="SG_05_20">Planilha!$G$485</definedName>
    <definedName name="SG_06_01">Planilha!$G$491</definedName>
    <definedName name="SG_06_02">Planilha!$G$495</definedName>
    <definedName name="SG_06_03">Planilha!$G$499</definedName>
    <definedName name="SG_06_04">Planilha!$G$503</definedName>
    <definedName name="SG_06_05">Planilha!$G$507</definedName>
    <definedName name="SG_06_06">Planilha!$G$511</definedName>
    <definedName name="SG_06_07">Planilha!$G$515</definedName>
    <definedName name="SG_06_08">Planilha!$G$519</definedName>
    <definedName name="SG_06_09">Planilha!$G$523</definedName>
    <definedName name="SG_06_10">Planilha!$G$527</definedName>
    <definedName name="SG_06_11">Planilha!$G$531</definedName>
    <definedName name="SG_06_12">Planilha!$G$535</definedName>
    <definedName name="SG_06_13">Planilha!$G$539</definedName>
    <definedName name="SG_06_14">Planilha!$G$543</definedName>
    <definedName name="SG_06_15">Planilha!$G$547</definedName>
    <definedName name="SG_06_16">Planilha!$G$551</definedName>
    <definedName name="SG_06_17">Planilha!$G$555</definedName>
    <definedName name="SG_06_18">Planilha!$G$559</definedName>
    <definedName name="SG_06_19">Planilha!$G$563</definedName>
    <definedName name="SG_06_20">Planilha!$G$567</definedName>
    <definedName name="SG_07_01">Planilha!$G$573</definedName>
    <definedName name="SG_07_02">Planilha!$G$577</definedName>
    <definedName name="SG_07_03">Planilha!$G$581</definedName>
    <definedName name="SG_07_04">Planilha!$G$585</definedName>
    <definedName name="SG_07_05">Planilha!$G$589</definedName>
    <definedName name="SG_07_06">Planilha!$G$593</definedName>
    <definedName name="SG_07_07">Planilha!$G$597</definedName>
    <definedName name="SG_07_08">Planilha!$G$601</definedName>
    <definedName name="SG_07_09">Planilha!$G$605</definedName>
    <definedName name="SG_07_10">Planilha!$G$609</definedName>
    <definedName name="SG_07_11">Planilha!$G$613</definedName>
    <definedName name="SG_07_12">Planilha!$G$617</definedName>
    <definedName name="SG_07_13">Planilha!$G$621</definedName>
    <definedName name="SG_07_14">Planilha!$G$625</definedName>
    <definedName name="SG_07_15">Planilha!$G$629</definedName>
    <definedName name="SG_07_16">Planilha!$G$633</definedName>
    <definedName name="SG_07_17">Planilha!$G$637</definedName>
    <definedName name="SG_07_18">Planilha!$G$641</definedName>
    <definedName name="SG_07_19">Planilha!$G$645</definedName>
    <definedName name="SG_07_20">Planilha!$G$649</definedName>
    <definedName name="SG_08_01">Planilha!$G$655</definedName>
    <definedName name="SG_08_02">Planilha!$G$659</definedName>
    <definedName name="SG_08_03">Planilha!$G$663</definedName>
    <definedName name="SG_08_04">Planilha!$G$667</definedName>
    <definedName name="SG_08_05">Planilha!$G$671</definedName>
    <definedName name="SG_08_06">Planilha!$G$675</definedName>
    <definedName name="SG_08_07">Planilha!$G$679</definedName>
    <definedName name="SG_08_08">Planilha!$G$683</definedName>
    <definedName name="SG_08_09">Planilha!$G$687</definedName>
    <definedName name="SG_08_10">Planilha!$G$691</definedName>
    <definedName name="SG_08_11">Planilha!$G$695</definedName>
    <definedName name="SG_08_12">Planilha!$G$699</definedName>
    <definedName name="SG_08_13">Planilha!$G$703</definedName>
    <definedName name="SG_08_14">Planilha!$G$707</definedName>
    <definedName name="SG_08_15">Planilha!$G$711</definedName>
    <definedName name="SG_08_16">Planilha!$G$715</definedName>
    <definedName name="SG_08_17">Planilha!$G$719</definedName>
    <definedName name="SG_08_18">Planilha!$G$723</definedName>
    <definedName name="SG_08_19">Planilha!$G$727</definedName>
    <definedName name="SG_08_20">Planilha!$G$731</definedName>
    <definedName name="SG_09_01">Planilha!$G$737</definedName>
    <definedName name="SG_09_02">Planilha!$G$741</definedName>
    <definedName name="SG_09_03">Planilha!$G$745</definedName>
    <definedName name="SG_09_04">Planilha!$G$749</definedName>
    <definedName name="SG_09_05">Planilha!$G$753</definedName>
    <definedName name="SG_09_06">Planilha!$G$757</definedName>
    <definedName name="SG_09_07">Planilha!$G$761</definedName>
    <definedName name="SG_09_08">Planilha!$G$765</definedName>
    <definedName name="SG_09_09">Planilha!$G$769</definedName>
    <definedName name="SG_09_10">Planilha!$G$773</definedName>
    <definedName name="SG_09_11">Planilha!$G$777</definedName>
    <definedName name="SG_09_12">Planilha!$G$781</definedName>
    <definedName name="SG_09_13">Planilha!$G$785</definedName>
    <definedName name="SG_09_14">Planilha!$G$789</definedName>
    <definedName name="SG_09_15">Planilha!$G$793</definedName>
    <definedName name="SG_09_16">Planilha!$G$797</definedName>
    <definedName name="SG_09_17">Planilha!$G$801</definedName>
    <definedName name="SG_09_18">Planilha!$G$805</definedName>
    <definedName name="SG_09_19">Planilha!$G$809</definedName>
    <definedName name="SG_09_20">Planilha!$G$813</definedName>
    <definedName name="SG_10_01">Planilha!$G$819</definedName>
    <definedName name="SG_10_02">Planilha!$G$823</definedName>
    <definedName name="SG_10_03">Planilha!$G$827</definedName>
    <definedName name="SG_10_04">Planilha!$G$831</definedName>
    <definedName name="SG_10_05">Planilha!$G$835</definedName>
    <definedName name="SG_10_06">Planilha!$G$839</definedName>
    <definedName name="SG_10_07">Planilha!$G$843</definedName>
    <definedName name="SG_10_08">Planilha!$G$847</definedName>
    <definedName name="SG_10_09">Planilha!$G$851</definedName>
    <definedName name="SG_10_10">Planilha!$G$855</definedName>
    <definedName name="SG_10_11">Planilha!$G$859</definedName>
    <definedName name="SG_10_12">Planilha!$G$863</definedName>
    <definedName name="SG_10_13">Planilha!$G$867</definedName>
    <definedName name="SG_10_14">Planilha!$G$871</definedName>
    <definedName name="SG_10_15">Planilha!$G$875</definedName>
    <definedName name="SG_10_16">Planilha!$G$879</definedName>
    <definedName name="SG_10_17">Planilha!$G$883</definedName>
    <definedName name="SG_10_18">Planilha!$G$887</definedName>
    <definedName name="SG_10_19">Planilha!$G$891</definedName>
    <definedName name="SG_10_20">Planilha!$G$895</definedName>
    <definedName name="SG_11_01">Planilha!$G$901</definedName>
    <definedName name="SG_11_02">Planilha!$G$905</definedName>
    <definedName name="SG_11_03">Planilha!$G$909</definedName>
    <definedName name="SG_11_04">Planilha!$G$913</definedName>
    <definedName name="SG_11_05">Planilha!$G$917</definedName>
    <definedName name="SG_11_06">Planilha!$G$921</definedName>
    <definedName name="SG_11_07">Planilha!$G$925</definedName>
    <definedName name="SG_11_08">Planilha!$G$929</definedName>
    <definedName name="SG_11_09">Planilha!$G$933</definedName>
    <definedName name="SG_11_10">Planilha!$G$937</definedName>
    <definedName name="SG_11_11">Planilha!$G$941</definedName>
    <definedName name="SG_11_12">Planilha!$G$945</definedName>
    <definedName name="SG_11_13">Planilha!$G$949</definedName>
    <definedName name="SG_11_14">Planilha!$G$953</definedName>
    <definedName name="SG_11_15">Planilha!$G$957</definedName>
    <definedName name="SG_11_16">Planilha!$G$961</definedName>
    <definedName name="SG_11_17">Planilha!$G$965</definedName>
    <definedName name="SG_11_18">Planilha!$G$969</definedName>
    <definedName name="SG_11_19">Planilha!$G$973</definedName>
    <definedName name="SG_11_20">Planilha!$G$977</definedName>
    <definedName name="SG_12_01">Planilha!$G$983</definedName>
    <definedName name="SG_12_02">Planilha!$G$987</definedName>
    <definedName name="SG_12_03">Planilha!$G$991</definedName>
    <definedName name="SG_12_04">Planilha!$G$995</definedName>
    <definedName name="SG_12_05">Planilha!$G$999</definedName>
    <definedName name="SG_12_06">Planilha!$G$1003</definedName>
    <definedName name="SG_12_07">Planilha!$G$1007</definedName>
    <definedName name="SG_12_08">Planilha!$G$1011</definedName>
    <definedName name="SG_12_09">Planilha!$G$1015</definedName>
    <definedName name="SG_12_10">Planilha!$G$1019</definedName>
    <definedName name="SG_12_11">Planilha!$G$1023</definedName>
    <definedName name="SG_12_12">Planilha!$G$1027</definedName>
    <definedName name="SG_12_13">Planilha!$G$1031</definedName>
    <definedName name="SG_12_14">Planilha!$G$1035</definedName>
    <definedName name="SG_12_15">Planilha!$G$1039</definedName>
    <definedName name="SG_12_16">Planilha!$G$1043</definedName>
    <definedName name="SG_12_17">Planilha!$G$1047</definedName>
    <definedName name="SG_12_18">Planilha!$G$1051</definedName>
    <definedName name="SG_12_19">Planilha!$G$1055</definedName>
    <definedName name="SG_12_20">Planilha!$G$1059</definedName>
    <definedName name="SG_13_01">Planilha!$G$1065</definedName>
    <definedName name="SG_13_02">Planilha!$G$1069</definedName>
    <definedName name="SG_13_03">Planilha!$G$1073</definedName>
    <definedName name="SG_13_04">Planilha!$G$1077</definedName>
    <definedName name="SG_13_05">Planilha!$G$1081</definedName>
    <definedName name="SG_13_06">Planilha!$G$1085</definedName>
    <definedName name="SG_13_07">Planilha!$G$1089</definedName>
    <definedName name="SG_13_08">Planilha!$G$1093</definedName>
    <definedName name="SG_13_09">Planilha!$G$1097</definedName>
    <definedName name="SG_13_10">Planilha!$G$1101</definedName>
    <definedName name="SG_13_11">Planilha!$G$1105</definedName>
    <definedName name="SG_13_12">Planilha!$G$1109</definedName>
    <definedName name="SG_13_13">Planilha!$G$1113</definedName>
    <definedName name="SG_13_14">Planilha!$G$1117</definedName>
    <definedName name="SG_13_15">Planilha!$G$1121</definedName>
    <definedName name="SG_13_16">Planilha!$G$1125</definedName>
    <definedName name="SG_13_17">Planilha!$G$1129</definedName>
    <definedName name="SG_13_18">Planilha!$G$1133</definedName>
    <definedName name="SG_13_19">Planilha!$G$1137</definedName>
    <definedName name="SG_13_20">Planilha!$G$1141</definedName>
    <definedName name="SG_14_01">Planilha!$G$1147</definedName>
    <definedName name="SG_14_02">Planilha!$G$1151</definedName>
    <definedName name="SG_14_03">Planilha!$G$1155</definedName>
    <definedName name="SG_14_04">Planilha!$G$1159</definedName>
    <definedName name="SG_14_05">Planilha!$G$1163</definedName>
    <definedName name="SG_14_06">Planilha!$G$1167</definedName>
    <definedName name="SG_14_07">Planilha!$G$1171</definedName>
    <definedName name="SG_14_08">Planilha!$G$1175</definedName>
    <definedName name="SG_14_09">Planilha!$G$1179</definedName>
    <definedName name="SG_14_10">Planilha!$G$1183</definedName>
    <definedName name="SG_14_11">Planilha!$G$1187</definedName>
    <definedName name="SG_14_12">Planilha!$G$1191</definedName>
    <definedName name="SG_14_13">Planilha!$G$1195</definedName>
    <definedName name="SG_14_14">Planilha!$G$1199</definedName>
    <definedName name="SG_14_15">Planilha!$G$1203</definedName>
    <definedName name="SG_14_16">Planilha!$G$1207</definedName>
    <definedName name="SG_14_17">Planilha!$G$1211</definedName>
    <definedName name="SG_14_18">Planilha!$G$1215</definedName>
    <definedName name="SG_14_19">Planilha!$G$1219</definedName>
    <definedName name="SG_14_20">Planilha!$G$1223</definedName>
    <definedName name="SG_15_01">Planilha!$G$1229</definedName>
    <definedName name="SG_15_02">Planilha!$G$1233</definedName>
    <definedName name="SG_15_03">Planilha!$G$1237</definedName>
    <definedName name="SG_15_04">Planilha!$G$1241</definedName>
    <definedName name="SG_15_05">Planilha!$G$1245</definedName>
    <definedName name="SG_15_06">Planilha!$G$1249</definedName>
    <definedName name="SG_15_07">Planilha!$G$1253</definedName>
    <definedName name="SG_15_08">Planilha!$G$1257</definedName>
    <definedName name="SG_15_09">Planilha!$G$1261</definedName>
    <definedName name="SG_15_10">Planilha!$G$1265</definedName>
    <definedName name="SG_15_11">Planilha!$G$1269</definedName>
    <definedName name="SG_15_12">Planilha!$G$1273</definedName>
    <definedName name="SG_15_13">Planilha!$G$1277</definedName>
    <definedName name="SG_15_14">Planilha!$G$1281</definedName>
    <definedName name="SG_15_15">Planilha!$G$1285</definedName>
    <definedName name="SG_15_16">Planilha!$G$1289</definedName>
    <definedName name="SG_15_17">Planilha!$G$1293</definedName>
    <definedName name="SG_15_18">Planilha!$G$1297</definedName>
    <definedName name="SG_15_19">Planilha!$G$1301</definedName>
    <definedName name="SG_15_20">Planilha!$G$1305</definedName>
    <definedName name="SG_16_01">Planilha!$G$1311</definedName>
    <definedName name="SG_16_02">Planilha!$G$1315</definedName>
    <definedName name="SG_16_03">Planilha!$G$1319</definedName>
    <definedName name="SG_16_04">Planilha!$G$1323</definedName>
    <definedName name="SG_16_05">Planilha!$G$1327</definedName>
    <definedName name="SG_16_06">Planilha!$G$1331</definedName>
    <definedName name="SG_16_07">Planilha!$G$1335</definedName>
    <definedName name="SG_16_08">Planilha!$G$1339</definedName>
    <definedName name="SG_16_09">Planilha!$G$1343</definedName>
    <definedName name="SG_16_10">Planilha!$G$1347</definedName>
    <definedName name="SG_16_11">Planilha!$G$1351</definedName>
    <definedName name="SG_16_12">Planilha!$G$1355</definedName>
    <definedName name="SG_16_13">Planilha!$G$1359</definedName>
    <definedName name="SG_16_14">Planilha!$G$1363</definedName>
    <definedName name="SG_16_15">Planilha!$G$1367</definedName>
    <definedName name="SG_16_16">Planilha!$G$1371</definedName>
    <definedName name="SG_16_17">Planilha!$G$1375</definedName>
    <definedName name="SG_16_18">Planilha!$G$1379</definedName>
    <definedName name="SG_16_19">Planilha!$G$1383</definedName>
    <definedName name="SG_16_20">Planilha!$G$1387</definedName>
    <definedName name="SG_17_01">Planilha!$G$1393</definedName>
    <definedName name="SG_17_02">Planilha!$G$1397</definedName>
    <definedName name="SG_17_03">Planilha!$G$1401</definedName>
    <definedName name="SG_17_04">Planilha!$G$1405</definedName>
    <definedName name="SG_17_05">Planilha!$G$1409</definedName>
    <definedName name="SG_17_06">Planilha!$G$1413</definedName>
    <definedName name="SG_17_07">Planilha!$G$1417</definedName>
    <definedName name="SG_17_08">Planilha!$G$1421</definedName>
    <definedName name="SG_17_09">Planilha!$G$1425</definedName>
    <definedName name="SG_17_10">Planilha!$G$1429</definedName>
    <definedName name="SG_17_11">Planilha!$G$1433</definedName>
    <definedName name="SG_17_12">Planilha!$G$1437</definedName>
    <definedName name="SG_17_13">Planilha!$G$1441</definedName>
    <definedName name="SG_17_14">Planilha!$G$1445</definedName>
    <definedName name="SG_17_15">Planilha!$G$1449</definedName>
    <definedName name="SG_17_16">Planilha!$G$1453</definedName>
    <definedName name="SG_17_17">Planilha!$G$1457</definedName>
    <definedName name="SG_17_18">Planilha!$G$1461</definedName>
    <definedName name="SG_17_19">Planilha!$G$1465</definedName>
    <definedName name="SG_17_20">Planilha!$G$1469</definedName>
    <definedName name="SG_18_01">Planilha!$G$1475</definedName>
    <definedName name="SG_18_02">Planilha!$G$1479</definedName>
    <definedName name="SG_18_03">Planilha!$G$1483</definedName>
    <definedName name="SG_18_04">Planilha!$G$1487</definedName>
    <definedName name="SG_18_05">Planilha!$G$1491</definedName>
    <definedName name="SG_18_06">Planilha!$G$1495</definedName>
    <definedName name="SG_18_07">Planilha!$G$1499</definedName>
    <definedName name="SG_18_08">Planilha!$G$1503</definedName>
    <definedName name="SG_18_09">Planilha!$G$1507</definedName>
    <definedName name="SG_18_10">Planilha!$G$1511</definedName>
    <definedName name="SG_18_11">Planilha!$G$1515</definedName>
    <definedName name="SG_18_12">Planilha!$G$1519</definedName>
    <definedName name="SG_18_13">Planilha!$G$1523</definedName>
    <definedName name="SG_18_14">Planilha!$G$1527</definedName>
    <definedName name="SG_18_15">Planilha!$G$1531</definedName>
    <definedName name="SG_18_16">Planilha!$G$1535</definedName>
    <definedName name="SG_18_17">Planilha!$G$1539</definedName>
    <definedName name="SG_18_18">Planilha!$G$1543</definedName>
    <definedName name="SG_18_19">Planilha!$G$1547</definedName>
    <definedName name="SG_18_20">Planilha!$G$1551</definedName>
    <definedName name="SG_19_01">Planilha!$G$1557</definedName>
    <definedName name="SG_19_02">Planilha!$G$1561</definedName>
    <definedName name="SG_19_03">Planilha!$G$1565</definedName>
    <definedName name="SG_19_04">Planilha!$G$1569</definedName>
    <definedName name="SG_19_05">Planilha!$G$1573</definedName>
    <definedName name="SG_19_06">Planilha!$G$1577</definedName>
    <definedName name="SG_19_07">Planilha!$G$1581</definedName>
    <definedName name="SG_19_08">Planilha!$G$1585</definedName>
    <definedName name="SG_19_09">Planilha!$G$1589</definedName>
    <definedName name="SG_19_10">Planilha!$G$1593</definedName>
    <definedName name="SG_19_11">Planilha!$G$1597</definedName>
    <definedName name="SG_19_12">Planilha!$G$1601</definedName>
    <definedName name="SG_19_13">Planilha!$G$1605</definedName>
    <definedName name="SG_19_14">Planilha!$G$1609</definedName>
    <definedName name="SG_19_15">Planilha!$G$1613</definedName>
    <definedName name="SG_19_16">Planilha!$G$1617</definedName>
    <definedName name="SG_19_17">Planilha!$G$1621</definedName>
    <definedName name="SG_19_18">Planilha!$G$1625</definedName>
    <definedName name="SG_19_19">Planilha!$G$1629</definedName>
    <definedName name="SG_19_20">Planilha!$G$1633</definedName>
    <definedName name="SG_20_01">Planilha!$G$1639</definedName>
    <definedName name="SG_20_02">Planilha!$G$1643</definedName>
    <definedName name="SG_20_03">Planilha!$G$1647</definedName>
    <definedName name="SG_20_04">Planilha!$G$1651</definedName>
    <definedName name="SG_20_05">Planilha!$G$1655</definedName>
    <definedName name="SG_20_06">Planilha!$G$1659</definedName>
    <definedName name="SG_20_07">Planilha!$G$1663</definedName>
    <definedName name="SG_20_08">Planilha!$G$1667</definedName>
    <definedName name="SG_20_09">Planilha!$G$1671</definedName>
    <definedName name="SG_20_10">Planilha!$G$1675</definedName>
    <definedName name="SG_20_11">Planilha!$G$1679</definedName>
    <definedName name="SG_20_12">Planilha!$G$1683</definedName>
    <definedName name="SG_20_13">Planilha!$G$1687</definedName>
    <definedName name="SG_20_14">Planilha!$G$1691</definedName>
    <definedName name="SG_20_15">Planilha!$G$1695</definedName>
    <definedName name="SG_20_16">Planilha!$G$1699</definedName>
    <definedName name="SG_20_17">Planilha!$G$1703</definedName>
    <definedName name="SG_20_18">Planilha!$G$1707</definedName>
    <definedName name="SG_20_19">Planilha!$G$1711</definedName>
    <definedName name="SG_20_20">Planilha!$G$1715</definedName>
    <definedName name="_xlnm.Print_Titles" localSheetId="3">Financeiro!$A:$B</definedName>
    <definedName name="_xlnm.Print_Titles" localSheetId="2">Fisico!$A:$B</definedName>
    <definedName name="_xlnm.Print_Titles" localSheetId="0">Planilha!$7:$7</definedName>
    <definedName name="_xlnm.Print_Titles" localSheetId="1">Resumo!$1:$7</definedName>
    <definedName name="TOTAL_GERAL">Planilha!$G$1719</definedName>
    <definedName name="TOTAL_RESUMO">Resumo!$E$429</definedName>
    <definedName name="wrn.Orçamento." hidden="1">{#N/A,#N/A,FALSE,"Planilha";#N/A,#N/A,FALSE,"Resumo";#N/A,#N/A,FALSE,"Fisico";#N/A,#N/A,FALSE,"Financeiro";#N/A,#N/A,FALSE,"Financeiro"}</definedName>
  </definedNames>
  <calcPr calcId="191029"/>
</workbook>
</file>

<file path=xl/calcChain.xml><?xml version="1.0" encoding="utf-8"?>
<calcChain xmlns="http://schemas.openxmlformats.org/spreadsheetml/2006/main">
  <c r="G328" i="1" l="1"/>
  <c r="F328" i="1"/>
  <c r="F327" i="1"/>
  <c r="G327" i="1" s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F318" i="1"/>
  <c r="G318" i="1" s="1"/>
  <c r="G317" i="1"/>
  <c r="F317" i="1"/>
  <c r="G316" i="1"/>
  <c r="F316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F245" i="1"/>
  <c r="G245" i="1" s="1"/>
  <c r="G244" i="1"/>
  <c r="F244" i="1"/>
  <c r="G243" i="1"/>
  <c r="F243" i="1"/>
  <c r="G242" i="1"/>
  <c r="F242" i="1"/>
  <c r="G241" i="1"/>
  <c r="F241" i="1"/>
  <c r="G240" i="1"/>
  <c r="F240" i="1"/>
  <c r="G238" i="1"/>
  <c r="F238" i="1"/>
  <c r="F237" i="1"/>
  <c r="G237" i="1" s="1"/>
  <c r="G236" i="1"/>
  <c r="F236" i="1"/>
  <c r="G235" i="1"/>
  <c r="F235" i="1"/>
  <c r="G234" i="1"/>
  <c r="F234" i="1"/>
  <c r="G233" i="1"/>
  <c r="F233" i="1"/>
  <c r="F229" i="1"/>
  <c r="G229" i="1" s="1"/>
  <c r="G228" i="1"/>
  <c r="F228" i="1"/>
  <c r="G227" i="1"/>
  <c r="F227" i="1"/>
  <c r="G226" i="1"/>
  <c r="F226" i="1"/>
  <c r="G225" i="1"/>
  <c r="F225" i="1"/>
  <c r="G222" i="1"/>
  <c r="F222" i="1"/>
  <c r="G221" i="1"/>
  <c r="F221" i="1"/>
  <c r="G220" i="1"/>
  <c r="F220" i="1"/>
  <c r="G219" i="1"/>
  <c r="F219" i="1"/>
  <c r="G216" i="1"/>
  <c r="F216" i="1"/>
  <c r="G215" i="1"/>
  <c r="F215" i="1"/>
  <c r="G214" i="1"/>
  <c r="F214" i="1"/>
  <c r="G213" i="1"/>
  <c r="F213" i="1"/>
  <c r="G212" i="1"/>
  <c r="F212" i="1"/>
  <c r="G209" i="1"/>
  <c r="F209" i="1"/>
  <c r="G208" i="1"/>
  <c r="F208" i="1"/>
  <c r="G207" i="1"/>
  <c r="F207" i="1"/>
  <c r="G206" i="1"/>
  <c r="F206" i="1"/>
  <c r="G205" i="1"/>
  <c r="F205" i="1"/>
  <c r="G142" i="1"/>
  <c r="F142" i="1"/>
  <c r="G141" i="1"/>
  <c r="F141" i="1"/>
  <c r="F140" i="1"/>
  <c r="G140" i="1" s="1"/>
  <c r="G139" i="1"/>
  <c r="F139" i="1"/>
  <c r="G138" i="1"/>
  <c r="F138" i="1"/>
  <c r="G137" i="1"/>
  <c r="F137" i="1"/>
  <c r="G136" i="1"/>
  <c r="F136" i="1"/>
  <c r="G134" i="1"/>
  <c r="F134" i="1"/>
  <c r="G133" i="1"/>
  <c r="F133" i="1"/>
  <c r="G132" i="1"/>
  <c r="F132" i="1"/>
  <c r="G129" i="1"/>
  <c r="F129" i="1"/>
  <c r="G128" i="1"/>
  <c r="F128" i="1"/>
  <c r="G125" i="1"/>
  <c r="F125" i="1"/>
  <c r="G124" i="1"/>
  <c r="F124" i="1"/>
  <c r="F121" i="1"/>
  <c r="G121" i="1" s="1"/>
  <c r="G120" i="1"/>
  <c r="F120" i="1"/>
  <c r="F119" i="1"/>
  <c r="G119" i="1" s="1"/>
  <c r="G118" i="1"/>
  <c r="F118" i="1"/>
  <c r="G117" i="1"/>
  <c r="F117" i="1"/>
  <c r="G116" i="1"/>
  <c r="F116" i="1"/>
  <c r="G114" i="1"/>
  <c r="F114" i="1"/>
  <c r="G113" i="1"/>
  <c r="F113" i="1"/>
  <c r="G112" i="1"/>
  <c r="F112" i="1"/>
  <c r="G111" i="1"/>
  <c r="F111" i="1"/>
  <c r="F51" i="1"/>
  <c r="G51" i="1" s="1"/>
  <c r="G50" i="1"/>
  <c r="F50" i="1"/>
  <c r="G45" i="1"/>
  <c r="F45" i="1"/>
  <c r="G43" i="1"/>
  <c r="F43" i="1"/>
  <c r="G42" i="1"/>
  <c r="F42" i="1"/>
  <c r="G41" i="1"/>
  <c r="F41" i="1"/>
  <c r="F36" i="1"/>
  <c r="G36" i="1" s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3" i="1"/>
  <c r="F23" i="1"/>
  <c r="G22" i="1"/>
  <c r="F22" i="1"/>
  <c r="F21" i="1"/>
  <c r="G21" i="1" s="1"/>
  <c r="G20" i="1"/>
  <c r="F20" i="1"/>
  <c r="G19" i="1"/>
  <c r="F19" i="1"/>
  <c r="F18" i="1"/>
  <c r="G18" i="1" s="1"/>
  <c r="G17" i="1"/>
  <c r="F17" i="1"/>
  <c r="F16" i="1"/>
  <c r="G16" i="1" s="1"/>
  <c r="G15" i="1"/>
  <c r="F15" i="1"/>
  <c r="F11" i="1"/>
  <c r="G11" i="1" s="1"/>
  <c r="F49" i="1"/>
  <c r="G49" i="1" s="1"/>
  <c r="AA9" i="3" l="1"/>
  <c r="E1" i="2"/>
  <c r="F410" i="1"/>
  <c r="G410" i="1" s="1"/>
  <c r="G1741" i="1"/>
  <c r="F37" i="1" l="1"/>
  <c r="F38" i="1"/>
  <c r="G38" i="1" s="1"/>
  <c r="A1" i="4" a="1"/>
  <c r="A1" i="4" s="1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Z32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1" i="3" a="1"/>
  <c r="A9" i="3"/>
  <c r="B9" i="3"/>
  <c r="A11" i="3"/>
  <c r="B11" i="3"/>
  <c r="AA11" i="3"/>
  <c r="A13" i="3"/>
  <c r="B13" i="3"/>
  <c r="AA13" i="3"/>
  <c r="A15" i="3"/>
  <c r="B15" i="3"/>
  <c r="AA15" i="3"/>
  <c r="A17" i="3"/>
  <c r="B17" i="3"/>
  <c r="AA17" i="3"/>
  <c r="A19" i="3"/>
  <c r="B19" i="3"/>
  <c r="AA19" i="3"/>
  <c r="A21" i="3"/>
  <c r="B21" i="3"/>
  <c r="AA21" i="3"/>
  <c r="A23" i="3"/>
  <c r="B23" i="3"/>
  <c r="AA23" i="3"/>
  <c r="A25" i="3"/>
  <c r="B25" i="3"/>
  <c r="AA25" i="3"/>
  <c r="A27" i="3"/>
  <c r="B27" i="3"/>
  <c r="AA27" i="3"/>
  <c r="A29" i="3"/>
  <c r="B29" i="3"/>
  <c r="AA29" i="3"/>
  <c r="A31" i="3"/>
  <c r="B31" i="3"/>
  <c r="AA31" i="3"/>
  <c r="A33" i="3"/>
  <c r="B33" i="3"/>
  <c r="AA33" i="3"/>
  <c r="A35" i="3"/>
  <c r="B35" i="3"/>
  <c r="AA35" i="3"/>
  <c r="A37" i="3"/>
  <c r="B37" i="3"/>
  <c r="AA37" i="3"/>
  <c r="A39" i="3"/>
  <c r="B39" i="3"/>
  <c r="AA39" i="3"/>
  <c r="A41" i="3"/>
  <c r="B41" i="3"/>
  <c r="AA41" i="3"/>
  <c r="A43" i="3"/>
  <c r="B43" i="3"/>
  <c r="AA43" i="3"/>
  <c r="A45" i="3"/>
  <c r="B45" i="3"/>
  <c r="AA45" i="3"/>
  <c r="A47" i="3"/>
  <c r="B47" i="3"/>
  <c r="AA47" i="3"/>
  <c r="G12" i="1"/>
  <c r="G13" i="1"/>
  <c r="G24" i="1"/>
  <c r="G25" i="1"/>
  <c r="G26" i="1"/>
  <c r="G39" i="1"/>
  <c r="G46" i="1"/>
  <c r="G47" i="1"/>
  <c r="G53" i="1"/>
  <c r="G54" i="1"/>
  <c r="G55" i="1"/>
  <c r="G57" i="1"/>
  <c r="G58" i="1"/>
  <c r="G59" i="1"/>
  <c r="G61" i="1"/>
  <c r="G62" i="1"/>
  <c r="G63" i="1"/>
  <c r="G65" i="1"/>
  <c r="G66" i="1"/>
  <c r="G67" i="1"/>
  <c r="G69" i="1"/>
  <c r="G70" i="1"/>
  <c r="G71" i="1"/>
  <c r="G73" i="1"/>
  <c r="G74" i="1"/>
  <c r="G75" i="1"/>
  <c r="G77" i="1"/>
  <c r="G78" i="1"/>
  <c r="G79" i="1"/>
  <c r="G81" i="1"/>
  <c r="G82" i="1"/>
  <c r="G83" i="1"/>
  <c r="G85" i="1"/>
  <c r="G86" i="1"/>
  <c r="G87" i="1"/>
  <c r="G89" i="1"/>
  <c r="G90" i="1"/>
  <c r="G91" i="1"/>
  <c r="G93" i="1"/>
  <c r="G94" i="1"/>
  <c r="G95" i="1"/>
  <c r="G97" i="1"/>
  <c r="G98" i="1"/>
  <c r="G99" i="1"/>
  <c r="G101" i="1"/>
  <c r="G102" i="1"/>
  <c r="G103" i="1"/>
  <c r="G105" i="1"/>
  <c r="G106" i="1"/>
  <c r="G107" i="1"/>
  <c r="G122" i="1"/>
  <c r="G126" i="1"/>
  <c r="G130" i="1"/>
  <c r="G144" i="1"/>
  <c r="G145" i="1"/>
  <c r="G147" i="1"/>
  <c r="G148" i="1"/>
  <c r="G149" i="1"/>
  <c r="G151" i="1"/>
  <c r="G152" i="1"/>
  <c r="G153" i="1"/>
  <c r="G155" i="1"/>
  <c r="G156" i="1"/>
  <c r="G157" i="1"/>
  <c r="G159" i="1"/>
  <c r="G160" i="1"/>
  <c r="G161" i="1"/>
  <c r="G163" i="1"/>
  <c r="G164" i="1"/>
  <c r="G165" i="1"/>
  <c r="G167" i="1"/>
  <c r="G168" i="1"/>
  <c r="G169" i="1"/>
  <c r="G171" i="1"/>
  <c r="G172" i="1"/>
  <c r="G173" i="1"/>
  <c r="G175" i="1"/>
  <c r="G176" i="1"/>
  <c r="G177" i="1"/>
  <c r="G179" i="1"/>
  <c r="G180" i="1"/>
  <c r="G181" i="1"/>
  <c r="G183" i="1"/>
  <c r="G184" i="1"/>
  <c r="G185" i="1"/>
  <c r="G187" i="1"/>
  <c r="G188" i="1"/>
  <c r="G189" i="1"/>
  <c r="G191" i="1"/>
  <c r="G192" i="1"/>
  <c r="G193" i="1"/>
  <c r="G195" i="1"/>
  <c r="G196" i="1"/>
  <c r="G197" i="1"/>
  <c r="G199" i="1"/>
  <c r="G200" i="1"/>
  <c r="G201" i="1"/>
  <c r="G210" i="1"/>
  <c r="G217" i="1"/>
  <c r="G223" i="1"/>
  <c r="G230" i="1"/>
  <c r="G231" i="1"/>
  <c r="G255" i="1"/>
  <c r="G256" i="1"/>
  <c r="G258" i="1"/>
  <c r="G259" i="1"/>
  <c r="G260" i="1"/>
  <c r="G262" i="1"/>
  <c r="G263" i="1"/>
  <c r="G264" i="1"/>
  <c r="G266" i="1"/>
  <c r="G267" i="1"/>
  <c r="G268" i="1"/>
  <c r="G270" i="1"/>
  <c r="G271" i="1"/>
  <c r="G272" i="1"/>
  <c r="G274" i="1"/>
  <c r="G275" i="1"/>
  <c r="G276" i="1"/>
  <c r="G278" i="1"/>
  <c r="G279" i="1"/>
  <c r="G280" i="1"/>
  <c r="G282" i="1"/>
  <c r="G283" i="1"/>
  <c r="G284" i="1"/>
  <c r="G286" i="1"/>
  <c r="G287" i="1"/>
  <c r="G288" i="1"/>
  <c r="G290" i="1"/>
  <c r="G291" i="1"/>
  <c r="G292" i="1"/>
  <c r="G294" i="1"/>
  <c r="G295" i="1"/>
  <c r="G296" i="1"/>
  <c r="G298" i="1"/>
  <c r="G299" i="1"/>
  <c r="G300" i="1"/>
  <c r="G302" i="1"/>
  <c r="G303" i="1"/>
  <c r="G304" i="1"/>
  <c r="G306" i="1"/>
  <c r="G307" i="1"/>
  <c r="G308" i="1"/>
  <c r="G310" i="1"/>
  <c r="G311" i="1"/>
  <c r="G312" i="1"/>
  <c r="G329" i="1"/>
  <c r="G330" i="1"/>
  <c r="G332" i="1"/>
  <c r="G333" i="1"/>
  <c r="G334" i="1"/>
  <c r="G336" i="1"/>
  <c r="G337" i="1"/>
  <c r="G338" i="1"/>
  <c r="G340" i="1"/>
  <c r="G341" i="1"/>
  <c r="G342" i="1"/>
  <c r="G344" i="1"/>
  <c r="G345" i="1"/>
  <c r="G346" i="1"/>
  <c r="G348" i="1"/>
  <c r="G349" i="1"/>
  <c r="G350" i="1"/>
  <c r="G352" i="1"/>
  <c r="G353" i="1"/>
  <c r="G354" i="1"/>
  <c r="G356" i="1"/>
  <c r="G357" i="1"/>
  <c r="G358" i="1"/>
  <c r="G360" i="1"/>
  <c r="G361" i="1"/>
  <c r="G362" i="1"/>
  <c r="G364" i="1"/>
  <c r="G365" i="1"/>
  <c r="G366" i="1"/>
  <c r="G368" i="1"/>
  <c r="G369" i="1"/>
  <c r="G370" i="1"/>
  <c r="G372" i="1"/>
  <c r="G373" i="1"/>
  <c r="G374" i="1"/>
  <c r="G376" i="1"/>
  <c r="G377" i="1"/>
  <c r="G378" i="1"/>
  <c r="G380" i="1"/>
  <c r="G381" i="1"/>
  <c r="G382" i="1"/>
  <c r="G384" i="1"/>
  <c r="G385" i="1"/>
  <c r="G386" i="1"/>
  <c r="G388" i="1"/>
  <c r="G389" i="1"/>
  <c r="G390" i="1"/>
  <c r="G392" i="1"/>
  <c r="G393" i="1"/>
  <c r="G394" i="1"/>
  <c r="G396" i="1"/>
  <c r="G397" i="1"/>
  <c r="G398" i="1"/>
  <c r="G400" i="1"/>
  <c r="G401" i="1"/>
  <c r="G402" i="1"/>
  <c r="G404" i="1"/>
  <c r="G405" i="1"/>
  <c r="G406" i="1"/>
  <c r="G411" i="1"/>
  <c r="G412" i="1"/>
  <c r="G414" i="1"/>
  <c r="G415" i="1"/>
  <c r="G416" i="1"/>
  <c r="G418" i="1"/>
  <c r="G419" i="1"/>
  <c r="G420" i="1"/>
  <c r="G422" i="1"/>
  <c r="G423" i="1"/>
  <c r="G424" i="1"/>
  <c r="G426" i="1"/>
  <c r="G427" i="1"/>
  <c r="G428" i="1"/>
  <c r="G430" i="1"/>
  <c r="G431" i="1"/>
  <c r="G432" i="1"/>
  <c r="G434" i="1"/>
  <c r="G435" i="1"/>
  <c r="G436" i="1"/>
  <c r="G438" i="1"/>
  <c r="G439" i="1"/>
  <c r="G440" i="1"/>
  <c r="G442" i="1"/>
  <c r="G443" i="1"/>
  <c r="G444" i="1"/>
  <c r="G446" i="1"/>
  <c r="G447" i="1"/>
  <c r="G448" i="1"/>
  <c r="G450" i="1"/>
  <c r="G451" i="1"/>
  <c r="G452" i="1"/>
  <c r="G454" i="1"/>
  <c r="G455" i="1"/>
  <c r="G456" i="1"/>
  <c r="G458" i="1"/>
  <c r="G459" i="1"/>
  <c r="G460" i="1"/>
  <c r="G462" i="1"/>
  <c r="G463" i="1"/>
  <c r="G464" i="1"/>
  <c r="G466" i="1"/>
  <c r="G467" i="1"/>
  <c r="G468" i="1"/>
  <c r="G470" i="1"/>
  <c r="G471" i="1"/>
  <c r="G472" i="1"/>
  <c r="G474" i="1"/>
  <c r="G475" i="1"/>
  <c r="G476" i="1"/>
  <c r="G478" i="1"/>
  <c r="G479" i="1"/>
  <c r="G480" i="1"/>
  <c r="G482" i="1"/>
  <c r="G483" i="1"/>
  <c r="G484" i="1"/>
  <c r="G486" i="1"/>
  <c r="G487" i="1"/>
  <c r="G488" i="1"/>
  <c r="G492" i="1"/>
  <c r="G493" i="1"/>
  <c r="G494" i="1"/>
  <c r="G496" i="1"/>
  <c r="G497" i="1"/>
  <c r="G498" i="1"/>
  <c r="G500" i="1"/>
  <c r="G501" i="1"/>
  <c r="G502" i="1"/>
  <c r="G504" i="1"/>
  <c r="G505" i="1"/>
  <c r="G506" i="1"/>
  <c r="G508" i="1"/>
  <c r="G509" i="1"/>
  <c r="G510" i="1"/>
  <c r="G512" i="1"/>
  <c r="G513" i="1"/>
  <c r="G514" i="1"/>
  <c r="G516" i="1"/>
  <c r="G517" i="1"/>
  <c r="G518" i="1"/>
  <c r="G520" i="1"/>
  <c r="G521" i="1"/>
  <c r="G522" i="1"/>
  <c r="G524" i="1"/>
  <c r="G525" i="1"/>
  <c r="G526" i="1"/>
  <c r="G528" i="1"/>
  <c r="G529" i="1"/>
  <c r="G530" i="1"/>
  <c r="G532" i="1"/>
  <c r="G533" i="1"/>
  <c r="G534" i="1"/>
  <c r="G536" i="1"/>
  <c r="G537" i="1"/>
  <c r="G538" i="1"/>
  <c r="G540" i="1"/>
  <c r="G541" i="1"/>
  <c r="G542" i="1"/>
  <c r="G544" i="1"/>
  <c r="G545" i="1"/>
  <c r="G546" i="1"/>
  <c r="G548" i="1"/>
  <c r="G549" i="1"/>
  <c r="G550" i="1"/>
  <c r="G552" i="1"/>
  <c r="G553" i="1"/>
  <c r="G554" i="1"/>
  <c r="G556" i="1"/>
  <c r="G557" i="1"/>
  <c r="G558" i="1"/>
  <c r="G560" i="1"/>
  <c r="G561" i="1"/>
  <c r="G562" i="1"/>
  <c r="G564" i="1"/>
  <c r="G565" i="1"/>
  <c r="G566" i="1"/>
  <c r="G568" i="1"/>
  <c r="G569" i="1"/>
  <c r="G570" i="1"/>
  <c r="G574" i="1"/>
  <c r="G575" i="1"/>
  <c r="G576" i="1"/>
  <c r="G578" i="1"/>
  <c r="G579" i="1"/>
  <c r="G580" i="1"/>
  <c r="G582" i="1"/>
  <c r="G583" i="1"/>
  <c r="G584" i="1"/>
  <c r="G586" i="1"/>
  <c r="G587" i="1"/>
  <c r="G588" i="1"/>
  <c r="G590" i="1"/>
  <c r="G591" i="1"/>
  <c r="G592" i="1"/>
  <c r="G594" i="1"/>
  <c r="G595" i="1"/>
  <c r="G596" i="1"/>
  <c r="G598" i="1"/>
  <c r="G599" i="1"/>
  <c r="G600" i="1"/>
  <c r="G602" i="1"/>
  <c r="G603" i="1"/>
  <c r="G604" i="1"/>
  <c r="G606" i="1"/>
  <c r="G607" i="1"/>
  <c r="G608" i="1"/>
  <c r="G610" i="1"/>
  <c r="G611" i="1"/>
  <c r="G612" i="1"/>
  <c r="G614" i="1"/>
  <c r="G615" i="1"/>
  <c r="G616" i="1"/>
  <c r="G618" i="1"/>
  <c r="G619" i="1"/>
  <c r="G620" i="1"/>
  <c r="G622" i="1"/>
  <c r="G623" i="1"/>
  <c r="G624" i="1"/>
  <c r="G626" i="1"/>
  <c r="G627" i="1"/>
  <c r="G628" i="1"/>
  <c r="G630" i="1"/>
  <c r="G631" i="1"/>
  <c r="G632" i="1"/>
  <c r="G634" i="1"/>
  <c r="G635" i="1"/>
  <c r="G636" i="1"/>
  <c r="G638" i="1"/>
  <c r="G639" i="1"/>
  <c r="G640" i="1"/>
  <c r="G642" i="1"/>
  <c r="G643" i="1"/>
  <c r="G644" i="1"/>
  <c r="G646" i="1"/>
  <c r="G647" i="1"/>
  <c r="G648" i="1"/>
  <c r="G650" i="1"/>
  <c r="G651" i="1"/>
  <c r="G652" i="1"/>
  <c r="G656" i="1"/>
  <c r="G657" i="1"/>
  <c r="G658" i="1"/>
  <c r="G660" i="1"/>
  <c r="G661" i="1"/>
  <c r="G662" i="1"/>
  <c r="G664" i="1"/>
  <c r="G665" i="1"/>
  <c r="G666" i="1"/>
  <c r="G668" i="1"/>
  <c r="G669" i="1"/>
  <c r="G670" i="1"/>
  <c r="G672" i="1"/>
  <c r="G673" i="1"/>
  <c r="G674" i="1"/>
  <c r="G676" i="1"/>
  <c r="G677" i="1"/>
  <c r="G678" i="1"/>
  <c r="G680" i="1"/>
  <c r="G681" i="1"/>
  <c r="G682" i="1"/>
  <c r="G684" i="1"/>
  <c r="G685" i="1"/>
  <c r="G686" i="1"/>
  <c r="G688" i="1"/>
  <c r="G689" i="1"/>
  <c r="G690" i="1"/>
  <c r="G692" i="1"/>
  <c r="G693" i="1"/>
  <c r="G694" i="1"/>
  <c r="G696" i="1"/>
  <c r="G697" i="1"/>
  <c r="G698" i="1"/>
  <c r="G700" i="1"/>
  <c r="G701" i="1"/>
  <c r="G702" i="1"/>
  <c r="G704" i="1"/>
  <c r="G705" i="1"/>
  <c r="G706" i="1"/>
  <c r="G708" i="1"/>
  <c r="G709" i="1"/>
  <c r="G710" i="1"/>
  <c r="G712" i="1"/>
  <c r="G713" i="1"/>
  <c r="G714" i="1"/>
  <c r="G716" i="1"/>
  <c r="G717" i="1"/>
  <c r="G718" i="1"/>
  <c r="G720" i="1"/>
  <c r="G721" i="1"/>
  <c r="G722" i="1"/>
  <c r="G724" i="1"/>
  <c r="G725" i="1"/>
  <c r="G726" i="1"/>
  <c r="G728" i="1"/>
  <c r="G729" i="1"/>
  <c r="G730" i="1"/>
  <c r="G732" i="1"/>
  <c r="G733" i="1"/>
  <c r="G734" i="1"/>
  <c r="G738" i="1"/>
  <c r="G739" i="1"/>
  <c r="G740" i="1"/>
  <c r="G742" i="1"/>
  <c r="G743" i="1"/>
  <c r="G744" i="1"/>
  <c r="G746" i="1"/>
  <c r="G747" i="1"/>
  <c r="G748" i="1"/>
  <c r="G750" i="1"/>
  <c r="G751" i="1"/>
  <c r="G752" i="1"/>
  <c r="G754" i="1"/>
  <c r="G755" i="1"/>
  <c r="G756" i="1"/>
  <c r="G758" i="1"/>
  <c r="G759" i="1"/>
  <c r="G760" i="1"/>
  <c r="G762" i="1"/>
  <c r="G763" i="1"/>
  <c r="G764" i="1"/>
  <c r="G766" i="1"/>
  <c r="G767" i="1"/>
  <c r="G768" i="1"/>
  <c r="G770" i="1"/>
  <c r="G771" i="1"/>
  <c r="G772" i="1"/>
  <c r="G774" i="1"/>
  <c r="G775" i="1"/>
  <c r="G776" i="1"/>
  <c r="G778" i="1"/>
  <c r="G779" i="1"/>
  <c r="G780" i="1"/>
  <c r="G782" i="1"/>
  <c r="G783" i="1"/>
  <c r="G784" i="1"/>
  <c r="G786" i="1"/>
  <c r="G787" i="1"/>
  <c r="G788" i="1"/>
  <c r="G790" i="1"/>
  <c r="G791" i="1"/>
  <c r="G792" i="1"/>
  <c r="G794" i="1"/>
  <c r="G795" i="1"/>
  <c r="G796" i="1"/>
  <c r="G798" i="1"/>
  <c r="G799" i="1"/>
  <c r="G800" i="1"/>
  <c r="G802" i="1"/>
  <c r="G803" i="1"/>
  <c r="G804" i="1"/>
  <c r="G806" i="1"/>
  <c r="G807" i="1"/>
  <c r="G808" i="1"/>
  <c r="G810" i="1"/>
  <c r="G811" i="1"/>
  <c r="G812" i="1"/>
  <c r="G814" i="1"/>
  <c r="G815" i="1"/>
  <c r="G816" i="1"/>
  <c r="G820" i="1"/>
  <c r="G821" i="1"/>
  <c r="G822" i="1"/>
  <c r="G824" i="1"/>
  <c r="G825" i="1"/>
  <c r="G826" i="1"/>
  <c r="G828" i="1"/>
  <c r="G829" i="1"/>
  <c r="G830" i="1"/>
  <c r="G832" i="1"/>
  <c r="G833" i="1"/>
  <c r="G834" i="1"/>
  <c r="G836" i="1"/>
  <c r="G837" i="1"/>
  <c r="G838" i="1"/>
  <c r="G840" i="1"/>
  <c r="G841" i="1"/>
  <c r="G842" i="1"/>
  <c r="G844" i="1"/>
  <c r="G845" i="1"/>
  <c r="G846" i="1"/>
  <c r="G848" i="1"/>
  <c r="G849" i="1"/>
  <c r="G850" i="1"/>
  <c r="G852" i="1"/>
  <c r="G853" i="1"/>
  <c r="G854" i="1"/>
  <c r="G856" i="1"/>
  <c r="G857" i="1"/>
  <c r="G858" i="1"/>
  <c r="G860" i="1"/>
  <c r="G861" i="1"/>
  <c r="G862" i="1"/>
  <c r="G864" i="1"/>
  <c r="G865" i="1"/>
  <c r="G866" i="1"/>
  <c r="G868" i="1"/>
  <c r="G869" i="1"/>
  <c r="G870" i="1"/>
  <c r="G872" i="1"/>
  <c r="G873" i="1"/>
  <c r="G874" i="1"/>
  <c r="G876" i="1"/>
  <c r="G877" i="1"/>
  <c r="G878" i="1"/>
  <c r="G880" i="1"/>
  <c r="G881" i="1"/>
  <c r="G882" i="1"/>
  <c r="G884" i="1"/>
  <c r="G885" i="1"/>
  <c r="G886" i="1"/>
  <c r="G888" i="1"/>
  <c r="G889" i="1"/>
  <c r="G890" i="1"/>
  <c r="G892" i="1"/>
  <c r="G893" i="1"/>
  <c r="G894" i="1"/>
  <c r="G896" i="1"/>
  <c r="G897" i="1"/>
  <c r="G898" i="1"/>
  <c r="G902" i="1"/>
  <c r="G903" i="1"/>
  <c r="G904" i="1"/>
  <c r="G906" i="1"/>
  <c r="G907" i="1"/>
  <c r="G908" i="1"/>
  <c r="G910" i="1"/>
  <c r="G911" i="1"/>
  <c r="G912" i="1"/>
  <c r="G914" i="1"/>
  <c r="G915" i="1"/>
  <c r="G916" i="1"/>
  <c r="G918" i="1"/>
  <c r="G919" i="1"/>
  <c r="G920" i="1"/>
  <c r="G922" i="1"/>
  <c r="G923" i="1"/>
  <c r="G924" i="1"/>
  <c r="G926" i="1"/>
  <c r="G927" i="1"/>
  <c r="G928" i="1"/>
  <c r="G930" i="1"/>
  <c r="G931" i="1"/>
  <c r="G932" i="1"/>
  <c r="G934" i="1"/>
  <c r="G935" i="1"/>
  <c r="G936" i="1"/>
  <c r="G938" i="1"/>
  <c r="G939" i="1"/>
  <c r="G940" i="1"/>
  <c r="G942" i="1"/>
  <c r="G943" i="1"/>
  <c r="G944" i="1"/>
  <c r="G946" i="1"/>
  <c r="G947" i="1"/>
  <c r="G948" i="1"/>
  <c r="G950" i="1"/>
  <c r="G951" i="1"/>
  <c r="G952" i="1"/>
  <c r="G954" i="1"/>
  <c r="G955" i="1"/>
  <c r="G956" i="1"/>
  <c r="G958" i="1"/>
  <c r="G959" i="1"/>
  <c r="G960" i="1"/>
  <c r="G962" i="1"/>
  <c r="G963" i="1"/>
  <c r="G964" i="1"/>
  <c r="G966" i="1"/>
  <c r="G967" i="1"/>
  <c r="G968" i="1"/>
  <c r="G970" i="1"/>
  <c r="G971" i="1"/>
  <c r="G972" i="1"/>
  <c r="G974" i="1"/>
  <c r="G975" i="1"/>
  <c r="G976" i="1"/>
  <c r="G978" i="1"/>
  <c r="G979" i="1"/>
  <c r="G980" i="1"/>
  <c r="G984" i="1"/>
  <c r="G985" i="1"/>
  <c r="G986" i="1"/>
  <c r="G988" i="1"/>
  <c r="G989" i="1"/>
  <c r="G990" i="1"/>
  <c r="G992" i="1"/>
  <c r="G993" i="1"/>
  <c r="G994" i="1"/>
  <c r="G996" i="1"/>
  <c r="G997" i="1"/>
  <c r="G998" i="1"/>
  <c r="G1000" i="1"/>
  <c r="G1001" i="1"/>
  <c r="G1002" i="1"/>
  <c r="G1004" i="1"/>
  <c r="G1005" i="1"/>
  <c r="G1006" i="1"/>
  <c r="G1008" i="1"/>
  <c r="G1009" i="1"/>
  <c r="G1010" i="1"/>
  <c r="G1012" i="1"/>
  <c r="G1013" i="1"/>
  <c r="G1014" i="1"/>
  <c r="G1016" i="1"/>
  <c r="G1017" i="1"/>
  <c r="G1018" i="1"/>
  <c r="G1020" i="1"/>
  <c r="G1021" i="1"/>
  <c r="G1022" i="1"/>
  <c r="G1024" i="1"/>
  <c r="G1025" i="1"/>
  <c r="G1026" i="1"/>
  <c r="G1028" i="1"/>
  <c r="G1029" i="1"/>
  <c r="G1030" i="1"/>
  <c r="G1032" i="1"/>
  <c r="G1033" i="1"/>
  <c r="G1034" i="1"/>
  <c r="G1036" i="1"/>
  <c r="G1037" i="1"/>
  <c r="G1038" i="1"/>
  <c r="G1040" i="1"/>
  <c r="G1041" i="1"/>
  <c r="G1042" i="1"/>
  <c r="G1044" i="1"/>
  <c r="G1045" i="1"/>
  <c r="G1046" i="1"/>
  <c r="G1048" i="1"/>
  <c r="G1049" i="1"/>
  <c r="G1050" i="1"/>
  <c r="G1052" i="1"/>
  <c r="G1053" i="1"/>
  <c r="G1054" i="1"/>
  <c r="G1056" i="1"/>
  <c r="G1057" i="1"/>
  <c r="G1058" i="1"/>
  <c r="G1060" i="1"/>
  <c r="G1061" i="1"/>
  <c r="G1062" i="1"/>
  <c r="G1066" i="1"/>
  <c r="G1067" i="1"/>
  <c r="G1068" i="1"/>
  <c r="G1070" i="1"/>
  <c r="G1071" i="1"/>
  <c r="G1072" i="1"/>
  <c r="G1074" i="1"/>
  <c r="G1075" i="1"/>
  <c r="G1076" i="1"/>
  <c r="G1078" i="1"/>
  <c r="G1079" i="1"/>
  <c r="G1080" i="1"/>
  <c r="G1082" i="1"/>
  <c r="G1083" i="1"/>
  <c r="G1084" i="1"/>
  <c r="G1086" i="1"/>
  <c r="G1087" i="1"/>
  <c r="G1088" i="1"/>
  <c r="G1090" i="1"/>
  <c r="G1091" i="1"/>
  <c r="G1092" i="1"/>
  <c r="G1094" i="1"/>
  <c r="G1095" i="1"/>
  <c r="G1096" i="1"/>
  <c r="G1098" i="1"/>
  <c r="G1099" i="1"/>
  <c r="G1100" i="1"/>
  <c r="G1102" i="1"/>
  <c r="G1103" i="1"/>
  <c r="G1104" i="1"/>
  <c r="G1106" i="1"/>
  <c r="G1107" i="1"/>
  <c r="G1108" i="1"/>
  <c r="G1110" i="1"/>
  <c r="G1111" i="1"/>
  <c r="G1112" i="1"/>
  <c r="G1114" i="1"/>
  <c r="G1115" i="1"/>
  <c r="G1116" i="1"/>
  <c r="G1118" i="1"/>
  <c r="G1119" i="1"/>
  <c r="G1120" i="1"/>
  <c r="G1122" i="1"/>
  <c r="G1123" i="1"/>
  <c r="G1124" i="1"/>
  <c r="G1126" i="1"/>
  <c r="G1127" i="1"/>
  <c r="G1128" i="1"/>
  <c r="G1130" i="1"/>
  <c r="G1131" i="1"/>
  <c r="G1132" i="1"/>
  <c r="G1134" i="1"/>
  <c r="G1135" i="1"/>
  <c r="G1136" i="1"/>
  <c r="G1138" i="1"/>
  <c r="G1139" i="1"/>
  <c r="G1140" i="1"/>
  <c r="G1142" i="1"/>
  <c r="G1143" i="1"/>
  <c r="G1144" i="1"/>
  <c r="G1148" i="1"/>
  <c r="G1149" i="1"/>
  <c r="G1150" i="1"/>
  <c r="G1152" i="1"/>
  <c r="G1153" i="1"/>
  <c r="G1154" i="1"/>
  <c r="G1156" i="1"/>
  <c r="G1157" i="1"/>
  <c r="G1158" i="1"/>
  <c r="G1160" i="1"/>
  <c r="G1161" i="1"/>
  <c r="G1162" i="1"/>
  <c r="G1164" i="1"/>
  <c r="G1165" i="1"/>
  <c r="G1166" i="1"/>
  <c r="G1168" i="1"/>
  <c r="G1169" i="1"/>
  <c r="G1170" i="1"/>
  <c r="G1172" i="1"/>
  <c r="G1173" i="1"/>
  <c r="G1174" i="1"/>
  <c r="G1176" i="1"/>
  <c r="G1177" i="1"/>
  <c r="G1178" i="1"/>
  <c r="G1180" i="1"/>
  <c r="G1181" i="1"/>
  <c r="G1182" i="1"/>
  <c r="G1184" i="1"/>
  <c r="G1185" i="1"/>
  <c r="G1186" i="1"/>
  <c r="G1188" i="1"/>
  <c r="G1189" i="1"/>
  <c r="G1190" i="1"/>
  <c r="G1192" i="1"/>
  <c r="G1193" i="1"/>
  <c r="G1194" i="1"/>
  <c r="G1196" i="1"/>
  <c r="G1197" i="1"/>
  <c r="G1198" i="1"/>
  <c r="G1200" i="1"/>
  <c r="G1201" i="1"/>
  <c r="G1202" i="1"/>
  <c r="G1204" i="1"/>
  <c r="G1205" i="1"/>
  <c r="G1206" i="1"/>
  <c r="G1208" i="1"/>
  <c r="G1209" i="1"/>
  <c r="G1210" i="1"/>
  <c r="G1212" i="1"/>
  <c r="G1213" i="1"/>
  <c r="G1214" i="1"/>
  <c r="G1216" i="1"/>
  <c r="G1217" i="1"/>
  <c r="G1218" i="1"/>
  <c r="G1220" i="1"/>
  <c r="G1221" i="1"/>
  <c r="G1222" i="1"/>
  <c r="G1224" i="1"/>
  <c r="G1225" i="1"/>
  <c r="G1226" i="1"/>
  <c r="G1230" i="1"/>
  <c r="G1231" i="1"/>
  <c r="G1232" i="1"/>
  <c r="G1234" i="1"/>
  <c r="G1235" i="1"/>
  <c r="G1236" i="1"/>
  <c r="G1238" i="1"/>
  <c r="G1239" i="1"/>
  <c r="G1240" i="1"/>
  <c r="G1242" i="1"/>
  <c r="G1243" i="1"/>
  <c r="G1244" i="1"/>
  <c r="G1246" i="1"/>
  <c r="G1247" i="1"/>
  <c r="G1248" i="1"/>
  <c r="G1250" i="1"/>
  <c r="G1251" i="1"/>
  <c r="G1252" i="1"/>
  <c r="G1254" i="1"/>
  <c r="G1255" i="1"/>
  <c r="G1256" i="1"/>
  <c r="G1258" i="1"/>
  <c r="G1259" i="1"/>
  <c r="G1260" i="1"/>
  <c r="G1262" i="1"/>
  <c r="G1263" i="1"/>
  <c r="G1264" i="1"/>
  <c r="G1266" i="1"/>
  <c r="G1267" i="1"/>
  <c r="G1268" i="1"/>
  <c r="G1270" i="1"/>
  <c r="G1271" i="1"/>
  <c r="G1272" i="1"/>
  <c r="G1274" i="1"/>
  <c r="G1275" i="1"/>
  <c r="G1276" i="1"/>
  <c r="G1278" i="1"/>
  <c r="G1279" i="1"/>
  <c r="G1280" i="1"/>
  <c r="G1282" i="1"/>
  <c r="G1283" i="1"/>
  <c r="G1284" i="1"/>
  <c r="G1286" i="1"/>
  <c r="G1287" i="1"/>
  <c r="G1288" i="1"/>
  <c r="G1290" i="1"/>
  <c r="G1291" i="1"/>
  <c r="G1292" i="1"/>
  <c r="G1294" i="1"/>
  <c r="G1295" i="1"/>
  <c r="G1296" i="1"/>
  <c r="G1298" i="1"/>
  <c r="G1299" i="1"/>
  <c r="G1300" i="1"/>
  <c r="G1302" i="1"/>
  <c r="G1303" i="1"/>
  <c r="G1304" i="1"/>
  <c r="G1306" i="1"/>
  <c r="G1307" i="1"/>
  <c r="G1308" i="1"/>
  <c r="G1312" i="1"/>
  <c r="G1313" i="1"/>
  <c r="G1314" i="1"/>
  <c r="G1316" i="1"/>
  <c r="G1317" i="1"/>
  <c r="G1318" i="1"/>
  <c r="G1320" i="1"/>
  <c r="G1321" i="1"/>
  <c r="G1322" i="1"/>
  <c r="G1324" i="1"/>
  <c r="G1325" i="1"/>
  <c r="G1326" i="1"/>
  <c r="G1328" i="1"/>
  <c r="G1329" i="1"/>
  <c r="G1330" i="1"/>
  <c r="G1332" i="1"/>
  <c r="G1333" i="1"/>
  <c r="G1334" i="1"/>
  <c r="G1336" i="1"/>
  <c r="G1337" i="1"/>
  <c r="G1338" i="1"/>
  <c r="G1340" i="1"/>
  <c r="G1341" i="1"/>
  <c r="G1342" i="1"/>
  <c r="G1344" i="1"/>
  <c r="G1345" i="1"/>
  <c r="G1346" i="1"/>
  <c r="G1348" i="1"/>
  <c r="G1349" i="1"/>
  <c r="G1350" i="1"/>
  <c r="G1352" i="1"/>
  <c r="G1353" i="1"/>
  <c r="G1354" i="1"/>
  <c r="G1356" i="1"/>
  <c r="G1357" i="1"/>
  <c r="G1358" i="1"/>
  <c r="G1360" i="1"/>
  <c r="G1361" i="1"/>
  <c r="G1362" i="1"/>
  <c r="G1364" i="1"/>
  <c r="G1365" i="1"/>
  <c r="G1366" i="1"/>
  <c r="G1368" i="1"/>
  <c r="G1369" i="1"/>
  <c r="G1370" i="1"/>
  <c r="G1372" i="1"/>
  <c r="G1373" i="1"/>
  <c r="G1374" i="1"/>
  <c r="G1376" i="1"/>
  <c r="G1377" i="1"/>
  <c r="G1378" i="1"/>
  <c r="G1380" i="1"/>
  <c r="G1381" i="1"/>
  <c r="G1382" i="1"/>
  <c r="G1384" i="1"/>
  <c r="G1385" i="1"/>
  <c r="G1386" i="1"/>
  <c r="G1388" i="1"/>
  <c r="G1389" i="1"/>
  <c r="G1390" i="1"/>
  <c r="G1394" i="1"/>
  <c r="G1395" i="1"/>
  <c r="G1396" i="1"/>
  <c r="G1398" i="1"/>
  <c r="G1399" i="1"/>
  <c r="G1400" i="1"/>
  <c r="G1402" i="1"/>
  <c r="G1403" i="1"/>
  <c r="G1404" i="1"/>
  <c r="G1406" i="1"/>
  <c r="G1407" i="1"/>
  <c r="G1408" i="1"/>
  <c r="G1410" i="1"/>
  <c r="G1411" i="1"/>
  <c r="G1412" i="1"/>
  <c r="G1414" i="1"/>
  <c r="G1415" i="1"/>
  <c r="G1416" i="1"/>
  <c r="G1418" i="1"/>
  <c r="G1419" i="1"/>
  <c r="G1420" i="1"/>
  <c r="G1422" i="1"/>
  <c r="G1423" i="1"/>
  <c r="G1424" i="1"/>
  <c r="G1426" i="1"/>
  <c r="G1427" i="1"/>
  <c r="G1428" i="1"/>
  <c r="G1430" i="1"/>
  <c r="G1431" i="1"/>
  <c r="G1432" i="1"/>
  <c r="G1434" i="1"/>
  <c r="G1435" i="1"/>
  <c r="G1436" i="1"/>
  <c r="G1438" i="1"/>
  <c r="G1439" i="1"/>
  <c r="G1440" i="1"/>
  <c r="G1442" i="1"/>
  <c r="G1443" i="1"/>
  <c r="G1444" i="1"/>
  <c r="G1446" i="1"/>
  <c r="G1447" i="1"/>
  <c r="G1448" i="1"/>
  <c r="G1450" i="1"/>
  <c r="G1451" i="1"/>
  <c r="G1452" i="1"/>
  <c r="G1454" i="1"/>
  <c r="G1455" i="1"/>
  <c r="G1456" i="1"/>
  <c r="G1458" i="1"/>
  <c r="G1459" i="1"/>
  <c r="G1460" i="1"/>
  <c r="G1462" i="1"/>
  <c r="G1463" i="1"/>
  <c r="G1464" i="1"/>
  <c r="G1466" i="1"/>
  <c r="G1467" i="1"/>
  <c r="G1468" i="1"/>
  <c r="G1470" i="1"/>
  <c r="G1471" i="1"/>
  <c r="G1472" i="1"/>
  <c r="G1476" i="1"/>
  <c r="G1477" i="1"/>
  <c r="G1478" i="1"/>
  <c r="G1480" i="1"/>
  <c r="G1481" i="1"/>
  <c r="G1482" i="1"/>
  <c r="G1484" i="1"/>
  <c r="G1485" i="1"/>
  <c r="G1486" i="1"/>
  <c r="G1488" i="1"/>
  <c r="G1489" i="1"/>
  <c r="G1490" i="1"/>
  <c r="G1492" i="1"/>
  <c r="G1493" i="1"/>
  <c r="G1494" i="1"/>
  <c r="G1496" i="1"/>
  <c r="G1497" i="1"/>
  <c r="G1498" i="1"/>
  <c r="G1500" i="1"/>
  <c r="G1501" i="1"/>
  <c r="G1502" i="1"/>
  <c r="G1504" i="1"/>
  <c r="G1505" i="1"/>
  <c r="G1506" i="1"/>
  <c r="G1508" i="1"/>
  <c r="G1509" i="1"/>
  <c r="G1510" i="1"/>
  <c r="G1512" i="1"/>
  <c r="G1513" i="1"/>
  <c r="G1514" i="1"/>
  <c r="G1516" i="1"/>
  <c r="G1517" i="1"/>
  <c r="G1518" i="1"/>
  <c r="G1520" i="1"/>
  <c r="G1521" i="1"/>
  <c r="G1522" i="1"/>
  <c r="G1524" i="1"/>
  <c r="G1525" i="1"/>
  <c r="G1526" i="1"/>
  <c r="G1528" i="1"/>
  <c r="G1529" i="1"/>
  <c r="G1530" i="1"/>
  <c r="G1532" i="1"/>
  <c r="G1533" i="1"/>
  <c r="G1534" i="1"/>
  <c r="G1536" i="1"/>
  <c r="G1537" i="1"/>
  <c r="G1538" i="1"/>
  <c r="G1540" i="1"/>
  <c r="G1541" i="1"/>
  <c r="G1542" i="1"/>
  <c r="G1544" i="1"/>
  <c r="G1545" i="1"/>
  <c r="G1546" i="1"/>
  <c r="G1548" i="1"/>
  <c r="G1549" i="1"/>
  <c r="G1550" i="1"/>
  <c r="G1552" i="1"/>
  <c r="G1553" i="1"/>
  <c r="G1554" i="1"/>
  <c r="G1558" i="1"/>
  <c r="G1559" i="1"/>
  <c r="G1560" i="1"/>
  <c r="G1562" i="1"/>
  <c r="G1563" i="1"/>
  <c r="G1564" i="1"/>
  <c r="G1566" i="1"/>
  <c r="G1567" i="1"/>
  <c r="G1568" i="1"/>
  <c r="G1570" i="1"/>
  <c r="G1571" i="1"/>
  <c r="G1572" i="1"/>
  <c r="G1574" i="1"/>
  <c r="G1575" i="1"/>
  <c r="G1576" i="1"/>
  <c r="G1578" i="1"/>
  <c r="G1579" i="1"/>
  <c r="G1580" i="1"/>
  <c r="G1582" i="1"/>
  <c r="G1583" i="1"/>
  <c r="G1584" i="1"/>
  <c r="G1586" i="1"/>
  <c r="G1587" i="1"/>
  <c r="G1588" i="1"/>
  <c r="G1590" i="1"/>
  <c r="G1591" i="1"/>
  <c r="G1592" i="1"/>
  <c r="G1594" i="1"/>
  <c r="G1595" i="1"/>
  <c r="G1596" i="1"/>
  <c r="G1598" i="1"/>
  <c r="G1599" i="1"/>
  <c r="G1600" i="1"/>
  <c r="G1602" i="1"/>
  <c r="G1603" i="1"/>
  <c r="G1604" i="1"/>
  <c r="G1606" i="1"/>
  <c r="G1607" i="1"/>
  <c r="G1608" i="1"/>
  <c r="G1610" i="1"/>
  <c r="G1611" i="1"/>
  <c r="G1612" i="1"/>
  <c r="G1614" i="1"/>
  <c r="G1615" i="1"/>
  <c r="G1616" i="1"/>
  <c r="G1618" i="1"/>
  <c r="G1619" i="1"/>
  <c r="G1620" i="1"/>
  <c r="G1622" i="1"/>
  <c r="G1623" i="1"/>
  <c r="G1624" i="1"/>
  <c r="G1626" i="1"/>
  <c r="G1627" i="1"/>
  <c r="G1628" i="1"/>
  <c r="G1630" i="1"/>
  <c r="G1631" i="1"/>
  <c r="G1632" i="1"/>
  <c r="G1634" i="1"/>
  <c r="G1635" i="1"/>
  <c r="G1636" i="1"/>
  <c r="G1640" i="1"/>
  <c r="G1641" i="1"/>
  <c r="G1642" i="1"/>
  <c r="G1644" i="1"/>
  <c r="G1645" i="1"/>
  <c r="G1646" i="1"/>
  <c r="G1648" i="1"/>
  <c r="G1649" i="1"/>
  <c r="G1650" i="1"/>
  <c r="G1652" i="1"/>
  <c r="G1653" i="1"/>
  <c r="G1654" i="1"/>
  <c r="G1656" i="1"/>
  <c r="G1657" i="1"/>
  <c r="G1658" i="1"/>
  <c r="G1660" i="1"/>
  <c r="G1661" i="1"/>
  <c r="G1662" i="1"/>
  <c r="G1664" i="1"/>
  <c r="G1665" i="1"/>
  <c r="G1666" i="1"/>
  <c r="G1668" i="1"/>
  <c r="G1669" i="1"/>
  <c r="G1670" i="1"/>
  <c r="G1672" i="1"/>
  <c r="G1673" i="1"/>
  <c r="G1674" i="1"/>
  <c r="G1676" i="1"/>
  <c r="G1677" i="1"/>
  <c r="G1678" i="1"/>
  <c r="G1680" i="1"/>
  <c r="G1681" i="1"/>
  <c r="G1682" i="1"/>
  <c r="G1684" i="1"/>
  <c r="G1685" i="1"/>
  <c r="G1686" i="1"/>
  <c r="G1688" i="1"/>
  <c r="G1689" i="1"/>
  <c r="G1690" i="1"/>
  <c r="G1692" i="1"/>
  <c r="G1693" i="1"/>
  <c r="G1694" i="1"/>
  <c r="G1696" i="1"/>
  <c r="G1697" i="1"/>
  <c r="G1698" i="1"/>
  <c r="G1700" i="1"/>
  <c r="G1701" i="1"/>
  <c r="G1702" i="1"/>
  <c r="G1704" i="1"/>
  <c r="G1705" i="1"/>
  <c r="G1706" i="1"/>
  <c r="G1708" i="1"/>
  <c r="G1709" i="1"/>
  <c r="G1710" i="1"/>
  <c r="G1712" i="1"/>
  <c r="G1713" i="1"/>
  <c r="G1714" i="1"/>
  <c r="G1716" i="1"/>
  <c r="G1717" i="1"/>
  <c r="G1718" i="1"/>
  <c r="A1" i="2"/>
  <c r="A2" i="2"/>
  <c r="A3" i="2"/>
  <c r="E5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G37" i="1" l="1"/>
  <c r="F1735" i="1"/>
  <c r="G14" i="1"/>
  <c r="E10" i="2" s="1"/>
  <c r="G1379" i="1"/>
  <c r="E341" i="2" s="1"/>
  <c r="G1363" i="1"/>
  <c r="E337" i="2" s="1"/>
  <c r="G1347" i="1"/>
  <c r="E333" i="2" s="1"/>
  <c r="G1331" i="1"/>
  <c r="E329" i="2" s="1"/>
  <c r="G1315" i="1"/>
  <c r="E325" i="2" s="1"/>
  <c r="G1133" i="1"/>
  <c r="E278" i="2" s="1"/>
  <c r="G1117" i="1"/>
  <c r="E274" i="2" s="1"/>
  <c r="G1101" i="1"/>
  <c r="E270" i="2" s="1"/>
  <c r="G1085" i="1"/>
  <c r="E266" i="2" s="1"/>
  <c r="G1069" i="1"/>
  <c r="E262" i="2" s="1"/>
  <c r="G723" i="1"/>
  <c r="E173" i="2" s="1"/>
  <c r="G707" i="1"/>
  <c r="E169" i="2" s="1"/>
  <c r="G691" i="1"/>
  <c r="E165" i="2" s="1"/>
  <c r="G675" i="1"/>
  <c r="E161" i="2" s="1"/>
  <c r="G659" i="1"/>
  <c r="E157" i="2" s="1"/>
  <c r="G477" i="1"/>
  <c r="E110" i="2" s="1"/>
  <c r="G461" i="1"/>
  <c r="E106" i="2" s="1"/>
  <c r="G445" i="1"/>
  <c r="E102" i="2" s="1"/>
  <c r="G429" i="1"/>
  <c r="E98" i="2" s="1"/>
  <c r="G413" i="1"/>
  <c r="E94" i="2" s="1"/>
  <c r="G813" i="1"/>
  <c r="E196" i="2" s="1"/>
  <c r="G797" i="1"/>
  <c r="E192" i="2" s="1"/>
  <c r="G781" i="1"/>
  <c r="E188" i="2" s="1"/>
  <c r="G765" i="1"/>
  <c r="E184" i="2" s="1"/>
  <c r="G749" i="1"/>
  <c r="E180" i="2" s="1"/>
  <c r="G104" i="1"/>
  <c r="E28" i="2" s="1"/>
  <c r="G88" i="1"/>
  <c r="E24" i="2" s="1"/>
  <c r="G72" i="1"/>
  <c r="E20" i="2" s="1"/>
  <c r="G56" i="1"/>
  <c r="E16" i="2" s="1"/>
  <c r="G40" i="1"/>
  <c r="E12" i="2" s="1"/>
  <c r="G1547" i="1"/>
  <c r="E384" i="2" s="1"/>
  <c r="G1531" i="1"/>
  <c r="E380" i="2" s="1"/>
  <c r="G1515" i="1"/>
  <c r="E376" i="2" s="1"/>
  <c r="G1499" i="1"/>
  <c r="E372" i="2" s="1"/>
  <c r="G1483" i="1"/>
  <c r="E368" i="2" s="1"/>
  <c r="G1469" i="1"/>
  <c r="E364" i="2" s="1"/>
  <c r="G1453" i="1"/>
  <c r="E360" i="2" s="1"/>
  <c r="G1437" i="1"/>
  <c r="E356" i="2" s="1"/>
  <c r="G1421" i="1"/>
  <c r="E352" i="2" s="1"/>
  <c r="G1405" i="1"/>
  <c r="E348" i="2" s="1"/>
  <c r="G1051" i="1"/>
  <c r="E257" i="2" s="1"/>
  <c r="G1035" i="1"/>
  <c r="E253" i="2" s="1"/>
  <c r="G1019" i="1"/>
  <c r="E249" i="2" s="1"/>
  <c r="G1003" i="1"/>
  <c r="E245" i="2" s="1"/>
  <c r="G987" i="1"/>
  <c r="E241" i="2" s="1"/>
  <c r="G969" i="1"/>
  <c r="E236" i="2" s="1"/>
  <c r="G953" i="1"/>
  <c r="E232" i="2" s="1"/>
  <c r="G937" i="1"/>
  <c r="E228" i="2" s="1"/>
  <c r="G921" i="1"/>
  <c r="E224" i="2" s="1"/>
  <c r="G905" i="1"/>
  <c r="E220" i="2" s="1"/>
  <c r="G891" i="1"/>
  <c r="E216" i="2" s="1"/>
  <c r="G875" i="1"/>
  <c r="E212" i="2" s="1"/>
  <c r="G859" i="1"/>
  <c r="E208" i="2" s="1"/>
  <c r="G843" i="1"/>
  <c r="E204" i="2" s="1"/>
  <c r="G827" i="1"/>
  <c r="E200" i="2" s="1"/>
  <c r="G395" i="1"/>
  <c r="E89" i="2" s="1"/>
  <c r="G379" i="1"/>
  <c r="E85" i="2" s="1"/>
  <c r="G363" i="1"/>
  <c r="E81" i="2" s="1"/>
  <c r="G347" i="1"/>
  <c r="E77" i="2" s="1"/>
  <c r="G331" i="1"/>
  <c r="E73" i="2" s="1"/>
  <c r="G211" i="1"/>
  <c r="E52" i="2" s="1"/>
  <c r="G194" i="1"/>
  <c r="E48" i="2" s="1"/>
  <c r="G178" i="1"/>
  <c r="E44" i="2" s="1"/>
  <c r="G162" i="1"/>
  <c r="E40" i="2" s="1"/>
  <c r="G146" i="1"/>
  <c r="E36" i="2" s="1"/>
  <c r="G123" i="1"/>
  <c r="E32" i="2" s="1"/>
  <c r="G1457" i="1"/>
  <c r="E361" i="2" s="1"/>
  <c r="G1441" i="1"/>
  <c r="E357" i="2" s="1"/>
  <c r="G1425" i="1"/>
  <c r="E353" i="2" s="1"/>
  <c r="G1409" i="1"/>
  <c r="E349" i="2" s="1"/>
  <c r="G1393" i="1"/>
  <c r="E345" i="2" s="1"/>
  <c r="G801" i="1"/>
  <c r="E193" i="2" s="1"/>
  <c r="G785" i="1"/>
  <c r="E189" i="2" s="1"/>
  <c r="G769" i="1"/>
  <c r="E185" i="2" s="1"/>
  <c r="G753" i="1"/>
  <c r="E181" i="2" s="1"/>
  <c r="G737" i="1"/>
  <c r="E177" i="2" s="1"/>
  <c r="G92" i="1"/>
  <c r="E25" i="2" s="1"/>
  <c r="G76" i="1"/>
  <c r="E21" i="2" s="1"/>
  <c r="G60" i="1"/>
  <c r="E17" i="2" s="1"/>
  <c r="G44" i="1"/>
  <c r="E13" i="2" s="1"/>
  <c r="G10" i="1"/>
  <c r="E9" i="2" s="1"/>
  <c r="G1383" i="1"/>
  <c r="E342" i="2" s="1"/>
  <c r="G1367" i="1"/>
  <c r="E338" i="2" s="1"/>
  <c r="G1319" i="1"/>
  <c r="E326" i="2" s="1"/>
  <c r="G1121" i="1"/>
  <c r="E275" i="2" s="1"/>
  <c r="G1105" i="1"/>
  <c r="E271" i="2" s="1"/>
  <c r="G1073" i="1"/>
  <c r="E263" i="2" s="1"/>
  <c r="G711" i="1"/>
  <c r="E170" i="2" s="1"/>
  <c r="G679" i="1"/>
  <c r="E162" i="2" s="1"/>
  <c r="G663" i="1"/>
  <c r="E158" i="2" s="1"/>
  <c r="G481" i="1"/>
  <c r="E111" i="2" s="1"/>
  <c r="G465" i="1"/>
  <c r="E107" i="2" s="1"/>
  <c r="G449" i="1"/>
  <c r="E103" i="2" s="1"/>
  <c r="G433" i="1"/>
  <c r="E99" i="2" s="1"/>
  <c r="G417" i="1"/>
  <c r="E95" i="2" s="1"/>
  <c r="G1551" i="1"/>
  <c r="E385" i="2" s="1"/>
  <c r="G1535" i="1"/>
  <c r="E381" i="2" s="1"/>
  <c r="G1519" i="1"/>
  <c r="E377" i="2" s="1"/>
  <c r="G1503" i="1"/>
  <c r="E373" i="2" s="1"/>
  <c r="G1487" i="1"/>
  <c r="E369" i="2" s="1"/>
  <c r="G1387" i="1"/>
  <c r="E343" i="2" s="1"/>
  <c r="G1371" i="1"/>
  <c r="E339" i="2" s="1"/>
  <c r="G1355" i="1"/>
  <c r="E335" i="2" s="1"/>
  <c r="G1339" i="1"/>
  <c r="E331" i="2" s="1"/>
  <c r="G1323" i="1"/>
  <c r="E327" i="2" s="1"/>
  <c r="G1141" i="1"/>
  <c r="E280" i="2" s="1"/>
  <c r="G1125" i="1"/>
  <c r="E276" i="2" s="1"/>
  <c r="G1351" i="1"/>
  <c r="E334" i="2" s="1"/>
  <c r="G1335" i="1"/>
  <c r="E330" i="2" s="1"/>
  <c r="G1137" i="1"/>
  <c r="E279" i="2" s="1"/>
  <c r="G1089" i="1"/>
  <c r="E267" i="2" s="1"/>
  <c r="G727" i="1"/>
  <c r="E174" i="2" s="1"/>
  <c r="G695" i="1"/>
  <c r="E166" i="2" s="1"/>
  <c r="G1375" i="1"/>
  <c r="E340" i="2" s="1"/>
  <c r="G1359" i="1"/>
  <c r="E336" i="2" s="1"/>
  <c r="G1343" i="1"/>
  <c r="E332" i="2" s="1"/>
  <c r="G1327" i="1"/>
  <c r="E328" i="2" s="1"/>
  <c r="G1311" i="1"/>
  <c r="E324" i="2" s="1"/>
  <c r="G1129" i="1"/>
  <c r="E277" i="2" s="1"/>
  <c r="G1703" i="1"/>
  <c r="E424" i="2" s="1"/>
  <c r="G1687" i="1"/>
  <c r="E420" i="2" s="1"/>
  <c r="G1671" i="1"/>
  <c r="E416" i="2" s="1"/>
  <c r="G1655" i="1"/>
  <c r="E412" i="2" s="1"/>
  <c r="G1639" i="1"/>
  <c r="E408" i="2" s="1"/>
  <c r="G1633" i="1"/>
  <c r="E406" i="2" s="1"/>
  <c r="G1109" i="1"/>
  <c r="E272" i="2" s="1"/>
  <c r="G1093" i="1"/>
  <c r="E268" i="2" s="1"/>
  <c r="G1077" i="1"/>
  <c r="E264" i="2" s="1"/>
  <c r="G1055" i="1"/>
  <c r="E258" i="2" s="1"/>
  <c r="G1039" i="1"/>
  <c r="E254" i="2" s="1"/>
  <c r="G1023" i="1"/>
  <c r="E250" i="2" s="1"/>
  <c r="G1007" i="1"/>
  <c r="E246" i="2" s="1"/>
  <c r="G991" i="1"/>
  <c r="E242" i="2" s="1"/>
  <c r="G973" i="1"/>
  <c r="E237" i="2" s="1"/>
  <c r="G957" i="1"/>
  <c r="E233" i="2" s="1"/>
  <c r="G941" i="1"/>
  <c r="E229" i="2" s="1"/>
  <c r="G925" i="1"/>
  <c r="E225" i="2" s="1"/>
  <c r="G909" i="1"/>
  <c r="E221" i="2" s="1"/>
  <c r="G895" i="1"/>
  <c r="E217" i="2" s="1"/>
  <c r="G879" i="1"/>
  <c r="E213" i="2" s="1"/>
  <c r="G863" i="1"/>
  <c r="E209" i="2" s="1"/>
  <c r="G847" i="1"/>
  <c r="E205" i="2" s="1"/>
  <c r="G831" i="1"/>
  <c r="E201" i="2" s="1"/>
  <c r="G731" i="1"/>
  <c r="E175" i="2" s="1"/>
  <c r="G715" i="1"/>
  <c r="E171" i="2" s="1"/>
  <c r="G699" i="1"/>
  <c r="E167" i="2" s="1"/>
  <c r="G683" i="1"/>
  <c r="E163" i="2" s="1"/>
  <c r="G667" i="1"/>
  <c r="E159" i="2" s="1"/>
  <c r="G485" i="1"/>
  <c r="E112" i="2" s="1"/>
  <c r="G469" i="1"/>
  <c r="E108" i="2" s="1"/>
  <c r="G453" i="1"/>
  <c r="E104" i="2" s="1"/>
  <c r="G437" i="1"/>
  <c r="E100" i="2" s="1"/>
  <c r="G421" i="1"/>
  <c r="E96" i="2" s="1"/>
  <c r="G399" i="1"/>
  <c r="E90" i="2" s="1"/>
  <c r="G383" i="1"/>
  <c r="E86" i="2" s="1"/>
  <c r="G367" i="1"/>
  <c r="E82" i="2" s="1"/>
  <c r="G351" i="1"/>
  <c r="E78" i="2" s="1"/>
  <c r="G335" i="1"/>
  <c r="E74" i="2" s="1"/>
  <c r="G305" i="1"/>
  <c r="E69" i="2" s="1"/>
  <c r="G289" i="1"/>
  <c r="E65" i="2" s="1"/>
  <c r="G273" i="1"/>
  <c r="E61" i="2" s="1"/>
  <c r="G257" i="1"/>
  <c r="E57" i="2" s="1"/>
  <c r="G218" i="1"/>
  <c r="E53" i="2" s="1"/>
  <c r="G198" i="1"/>
  <c r="E49" i="2" s="1"/>
  <c r="G182" i="1"/>
  <c r="E45" i="2" s="1"/>
  <c r="G166" i="1"/>
  <c r="E41" i="2" s="1"/>
  <c r="G150" i="1"/>
  <c r="E37" i="2" s="1"/>
  <c r="G127" i="1"/>
  <c r="E33" i="2" s="1"/>
  <c r="G1543" i="1"/>
  <c r="E383" i="2" s="1"/>
  <c r="G1527" i="1"/>
  <c r="E379" i="2" s="1"/>
  <c r="G1511" i="1"/>
  <c r="E375" i="2" s="1"/>
  <c r="G1495" i="1"/>
  <c r="E371" i="2" s="1"/>
  <c r="G1479" i="1"/>
  <c r="E367" i="2" s="1"/>
  <c r="G1465" i="1"/>
  <c r="E363" i="2" s="1"/>
  <c r="G1449" i="1"/>
  <c r="E359" i="2" s="1"/>
  <c r="G1433" i="1"/>
  <c r="E355" i="2" s="1"/>
  <c r="G1417" i="1"/>
  <c r="E351" i="2" s="1"/>
  <c r="G1401" i="1"/>
  <c r="E347" i="2" s="1"/>
  <c r="G1293" i="1"/>
  <c r="E319" i="2" s="1"/>
  <c r="G1277" i="1"/>
  <c r="E315" i="2" s="1"/>
  <c r="G1261" i="1"/>
  <c r="E311" i="2" s="1"/>
  <c r="G1245" i="1"/>
  <c r="E307" i="2" s="1"/>
  <c r="G1229" i="1"/>
  <c r="E303" i="2" s="1"/>
  <c r="G1215" i="1"/>
  <c r="E299" i="2" s="1"/>
  <c r="G1199" i="1"/>
  <c r="E295" i="2" s="1"/>
  <c r="G1183" i="1"/>
  <c r="E291" i="2" s="1"/>
  <c r="G1167" i="1"/>
  <c r="E287" i="2" s="1"/>
  <c r="G1151" i="1"/>
  <c r="E283" i="2" s="1"/>
  <c r="G1113" i="1"/>
  <c r="E273" i="2" s="1"/>
  <c r="G1097" i="1"/>
  <c r="E269" i="2" s="1"/>
  <c r="G1081" i="1"/>
  <c r="E265" i="2" s="1"/>
  <c r="G1065" i="1"/>
  <c r="E261" i="2" s="1"/>
  <c r="G719" i="1"/>
  <c r="E172" i="2" s="1"/>
  <c r="G703" i="1"/>
  <c r="E168" i="2" s="1"/>
  <c r="G687" i="1"/>
  <c r="E164" i="2" s="1"/>
  <c r="G671" i="1"/>
  <c r="E160" i="2" s="1"/>
  <c r="G655" i="1"/>
  <c r="E156" i="2" s="1"/>
  <c r="G473" i="1"/>
  <c r="E109" i="2" s="1"/>
  <c r="G457" i="1"/>
  <c r="E105" i="2" s="1"/>
  <c r="G441" i="1"/>
  <c r="E101" i="2" s="1"/>
  <c r="G425" i="1"/>
  <c r="E97" i="2" s="1"/>
  <c r="G409" i="1"/>
  <c r="E93" i="2" s="1"/>
  <c r="G1617" i="1"/>
  <c r="E402" i="2" s="1"/>
  <c r="G1601" i="1"/>
  <c r="E398" i="2" s="1"/>
  <c r="G1585" i="1"/>
  <c r="E394" i="2" s="1"/>
  <c r="G1569" i="1"/>
  <c r="E390" i="2" s="1"/>
  <c r="G1539" i="1"/>
  <c r="E382" i="2" s="1"/>
  <c r="G1523" i="1"/>
  <c r="E378" i="2" s="1"/>
  <c r="G1507" i="1"/>
  <c r="E374" i="2" s="1"/>
  <c r="G1491" i="1"/>
  <c r="E370" i="2" s="1"/>
  <c r="G1475" i="1"/>
  <c r="E366" i="2" s="1"/>
  <c r="G1461" i="1"/>
  <c r="E362" i="2" s="1"/>
  <c r="G1445" i="1"/>
  <c r="E358" i="2" s="1"/>
  <c r="G1429" i="1"/>
  <c r="E354" i="2" s="1"/>
  <c r="G1413" i="1"/>
  <c r="E350" i="2" s="1"/>
  <c r="G1397" i="1"/>
  <c r="E346" i="2" s="1"/>
  <c r="G1059" i="1"/>
  <c r="E259" i="2" s="1"/>
  <c r="G1043" i="1"/>
  <c r="E255" i="2" s="1"/>
  <c r="G1027" i="1"/>
  <c r="E251" i="2" s="1"/>
  <c r="G1011" i="1"/>
  <c r="E247" i="2" s="1"/>
  <c r="G995" i="1"/>
  <c r="E243" i="2" s="1"/>
  <c r="G977" i="1"/>
  <c r="E238" i="2" s="1"/>
  <c r="G961" i="1"/>
  <c r="E234" i="2" s="1"/>
  <c r="G945" i="1"/>
  <c r="E230" i="2" s="1"/>
  <c r="G929" i="1"/>
  <c r="E226" i="2" s="1"/>
  <c r="G913" i="1"/>
  <c r="E222" i="2" s="1"/>
  <c r="G883" i="1"/>
  <c r="E214" i="2" s="1"/>
  <c r="G867" i="1"/>
  <c r="E210" i="2" s="1"/>
  <c r="G851" i="1"/>
  <c r="E206" i="2" s="1"/>
  <c r="G835" i="1"/>
  <c r="E202" i="2" s="1"/>
  <c r="G819" i="1"/>
  <c r="E198" i="2" s="1"/>
  <c r="G805" i="1"/>
  <c r="E194" i="2" s="1"/>
  <c r="G789" i="1"/>
  <c r="E190" i="2" s="1"/>
  <c r="G773" i="1"/>
  <c r="E186" i="2" s="1"/>
  <c r="G757" i="1"/>
  <c r="E182" i="2" s="1"/>
  <c r="G741" i="1"/>
  <c r="G403" i="1"/>
  <c r="E91" i="2" s="1"/>
  <c r="G387" i="1"/>
  <c r="E87" i="2" s="1"/>
  <c r="G371" i="1"/>
  <c r="E83" i="2" s="1"/>
  <c r="G355" i="1"/>
  <c r="E79" i="2" s="1"/>
  <c r="G339" i="1"/>
  <c r="E75" i="2" s="1"/>
  <c r="G96" i="1"/>
  <c r="E26" i="2" s="1"/>
  <c r="G80" i="1"/>
  <c r="E22" i="2" s="1"/>
  <c r="G64" i="1"/>
  <c r="E18" i="2" s="1"/>
  <c r="G48" i="1"/>
  <c r="E14" i="2" s="1"/>
  <c r="A3" i="4"/>
  <c r="G1047" i="1"/>
  <c r="E256" i="2" s="1"/>
  <c r="G1031" i="1"/>
  <c r="E252" i="2" s="1"/>
  <c r="G1015" i="1"/>
  <c r="E248" i="2" s="1"/>
  <c r="G999" i="1"/>
  <c r="E244" i="2" s="1"/>
  <c r="G983" i="1"/>
  <c r="E240" i="2" s="1"/>
  <c r="G809" i="1"/>
  <c r="E195" i="2" s="1"/>
  <c r="G793" i="1"/>
  <c r="E191" i="2" s="1"/>
  <c r="G777" i="1"/>
  <c r="E187" i="2" s="1"/>
  <c r="G761" i="1"/>
  <c r="E183" i="2" s="1"/>
  <c r="G745" i="1"/>
  <c r="E179" i="2" s="1"/>
  <c r="G637" i="1"/>
  <c r="E151" i="2" s="1"/>
  <c r="G621" i="1"/>
  <c r="E147" i="2" s="1"/>
  <c r="G605" i="1"/>
  <c r="E143" i="2" s="1"/>
  <c r="G589" i="1"/>
  <c r="E139" i="2" s="1"/>
  <c r="G573" i="1"/>
  <c r="E135" i="2" s="1"/>
  <c r="G555" i="1"/>
  <c r="E130" i="2" s="1"/>
  <c r="G539" i="1"/>
  <c r="E126" i="2" s="1"/>
  <c r="G527" i="1"/>
  <c r="E123" i="2" s="1"/>
  <c r="G511" i="1"/>
  <c r="E119" i="2" s="1"/>
  <c r="G495" i="1"/>
  <c r="E115" i="2" s="1"/>
  <c r="G391" i="1"/>
  <c r="E88" i="2" s="1"/>
  <c r="G375" i="1"/>
  <c r="E84" i="2" s="1"/>
  <c r="G359" i="1"/>
  <c r="E80" i="2" s="1"/>
  <c r="G343" i="1"/>
  <c r="E76" i="2" s="1"/>
  <c r="G315" i="1"/>
  <c r="E72" i="2" s="1"/>
  <c r="G100" i="1"/>
  <c r="E27" i="2" s="1"/>
  <c r="G84" i="1"/>
  <c r="E23" i="2" s="1"/>
  <c r="G68" i="1"/>
  <c r="E19" i="2" s="1"/>
  <c r="G52" i="1"/>
  <c r="E15" i="2" s="1"/>
  <c r="G27" i="1"/>
  <c r="E11" i="2" s="1"/>
  <c r="G1707" i="1"/>
  <c r="E425" i="2" s="1"/>
  <c r="G1691" i="1"/>
  <c r="E421" i="2" s="1"/>
  <c r="G1675" i="1"/>
  <c r="E417" i="2" s="1"/>
  <c r="G1659" i="1"/>
  <c r="E413" i="2" s="1"/>
  <c r="G1643" i="1"/>
  <c r="E409" i="2" s="1"/>
  <c r="G1297" i="1"/>
  <c r="E320" i="2" s="1"/>
  <c r="G1281" i="1"/>
  <c r="E316" i="2" s="1"/>
  <c r="G1265" i="1"/>
  <c r="E312" i="2" s="1"/>
  <c r="G1249" i="1"/>
  <c r="E308" i="2" s="1"/>
  <c r="G1233" i="1"/>
  <c r="E304" i="2" s="1"/>
  <c r="G1219" i="1"/>
  <c r="E300" i="2" s="1"/>
  <c r="G1203" i="1"/>
  <c r="E296" i="2" s="1"/>
  <c r="G1187" i="1"/>
  <c r="E292" i="2" s="1"/>
  <c r="G1171" i="1"/>
  <c r="E288" i="2" s="1"/>
  <c r="G1155" i="1"/>
  <c r="E284" i="2" s="1"/>
  <c r="A1" i="3"/>
  <c r="A2" i="3"/>
  <c r="A3" i="3"/>
  <c r="G1711" i="1"/>
  <c r="E426" i="2" s="1"/>
  <c r="G1695" i="1"/>
  <c r="E422" i="2" s="1"/>
  <c r="G1679" i="1"/>
  <c r="E418" i="2" s="1"/>
  <c r="G1663" i="1"/>
  <c r="E414" i="2" s="1"/>
  <c r="G1647" i="1"/>
  <c r="E410" i="2" s="1"/>
  <c r="G309" i="1"/>
  <c r="E70" i="2" s="1"/>
  <c r="G293" i="1"/>
  <c r="E66" i="2" s="1"/>
  <c r="G277" i="1"/>
  <c r="E62" i="2" s="1"/>
  <c r="G261" i="1"/>
  <c r="E58" i="2" s="1"/>
  <c r="G224" i="1"/>
  <c r="E54" i="2" s="1"/>
  <c r="G186" i="1"/>
  <c r="E46" i="2" s="1"/>
  <c r="G170" i="1"/>
  <c r="E42" i="2" s="1"/>
  <c r="G154" i="1"/>
  <c r="E38" i="2" s="1"/>
  <c r="G131" i="1"/>
  <c r="E34" i="2" s="1"/>
  <c r="G110" i="1"/>
  <c r="G1715" i="1"/>
  <c r="E427" i="2" s="1"/>
  <c r="G1699" i="1"/>
  <c r="E423" i="2" s="1"/>
  <c r="G1683" i="1"/>
  <c r="E419" i="2" s="1"/>
  <c r="G1667" i="1"/>
  <c r="E415" i="2" s="1"/>
  <c r="G1651" i="1"/>
  <c r="E411" i="2" s="1"/>
  <c r="G1621" i="1"/>
  <c r="E403" i="2" s="1"/>
  <c r="G1605" i="1"/>
  <c r="E399" i="2" s="1"/>
  <c r="G1589" i="1"/>
  <c r="E395" i="2" s="1"/>
  <c r="G1573" i="1"/>
  <c r="E391" i="2" s="1"/>
  <c r="G1557" i="1"/>
  <c r="G641" i="1"/>
  <c r="E152" i="2" s="1"/>
  <c r="G625" i="1"/>
  <c r="E148" i="2" s="1"/>
  <c r="G609" i="1"/>
  <c r="E144" i="2" s="1"/>
  <c r="G593" i="1"/>
  <c r="E140" i="2" s="1"/>
  <c r="G577" i="1"/>
  <c r="E136" i="2" s="1"/>
  <c r="G559" i="1"/>
  <c r="E131" i="2" s="1"/>
  <c r="G543" i="1"/>
  <c r="E127" i="2" s="1"/>
  <c r="G515" i="1"/>
  <c r="E120" i="2" s="1"/>
  <c r="G499" i="1"/>
  <c r="E116" i="2" s="1"/>
  <c r="G1625" i="1"/>
  <c r="E404" i="2" s="1"/>
  <c r="G1609" i="1"/>
  <c r="E400" i="2" s="1"/>
  <c r="G1593" i="1"/>
  <c r="E396" i="2" s="1"/>
  <c r="G1577" i="1"/>
  <c r="E392" i="2" s="1"/>
  <c r="G1561" i="1"/>
  <c r="E388" i="2" s="1"/>
  <c r="G1301" i="1"/>
  <c r="E321" i="2" s="1"/>
  <c r="G1285" i="1"/>
  <c r="E317" i="2" s="1"/>
  <c r="G1269" i="1"/>
  <c r="E313" i="2" s="1"/>
  <c r="G1253" i="1"/>
  <c r="E309" i="2" s="1"/>
  <c r="G1237" i="1"/>
  <c r="E305" i="2" s="1"/>
  <c r="G1223" i="1"/>
  <c r="E301" i="2" s="1"/>
  <c r="G1207" i="1"/>
  <c r="E297" i="2" s="1"/>
  <c r="G1191" i="1"/>
  <c r="E293" i="2" s="1"/>
  <c r="G1175" i="1"/>
  <c r="E289" i="2" s="1"/>
  <c r="G1159" i="1"/>
  <c r="E285" i="2" s="1"/>
  <c r="G965" i="1"/>
  <c r="E235" i="2" s="1"/>
  <c r="G949" i="1"/>
  <c r="E231" i="2" s="1"/>
  <c r="G933" i="1"/>
  <c r="E227" i="2" s="1"/>
  <c r="G917" i="1"/>
  <c r="E223" i="2" s="1"/>
  <c r="G901" i="1"/>
  <c r="G887" i="1"/>
  <c r="E215" i="2" s="1"/>
  <c r="G871" i="1"/>
  <c r="E211" i="2" s="1"/>
  <c r="G855" i="1"/>
  <c r="E207" i="2" s="1"/>
  <c r="G839" i="1"/>
  <c r="E203" i="2" s="1"/>
  <c r="G823" i="1"/>
  <c r="E199" i="2" s="1"/>
  <c r="G645" i="1"/>
  <c r="E153" i="2" s="1"/>
  <c r="G629" i="1"/>
  <c r="E149" i="2" s="1"/>
  <c r="G613" i="1"/>
  <c r="E145" i="2" s="1"/>
  <c r="G597" i="1"/>
  <c r="E141" i="2" s="1"/>
  <c r="G581" i="1"/>
  <c r="E137" i="2" s="1"/>
  <c r="G563" i="1"/>
  <c r="E132" i="2" s="1"/>
  <c r="G547" i="1"/>
  <c r="E128" i="2" s="1"/>
  <c r="G531" i="1"/>
  <c r="E124" i="2" s="1"/>
  <c r="G519" i="1"/>
  <c r="E121" i="2" s="1"/>
  <c r="G503" i="1"/>
  <c r="E117" i="2" s="1"/>
  <c r="G297" i="1"/>
  <c r="E67" i="2" s="1"/>
  <c r="G281" i="1"/>
  <c r="E63" i="2" s="1"/>
  <c r="G265" i="1"/>
  <c r="E59" i="2" s="1"/>
  <c r="G232" i="1"/>
  <c r="E55" i="2" s="1"/>
  <c r="G204" i="1"/>
  <c r="G190" i="1"/>
  <c r="E47" i="2" s="1"/>
  <c r="G174" i="1"/>
  <c r="E43" i="2" s="1"/>
  <c r="G158" i="1"/>
  <c r="E39" i="2" s="1"/>
  <c r="G135" i="1"/>
  <c r="E35" i="2" s="1"/>
  <c r="G115" i="1"/>
  <c r="E31" i="2" s="1"/>
  <c r="G1629" i="1"/>
  <c r="E405" i="2" s="1"/>
  <c r="G1613" i="1"/>
  <c r="E401" i="2" s="1"/>
  <c r="G1597" i="1"/>
  <c r="E397" i="2" s="1"/>
  <c r="G1581" i="1"/>
  <c r="E393" i="2" s="1"/>
  <c r="G1565" i="1"/>
  <c r="E389" i="2" s="1"/>
  <c r="G1305" i="1"/>
  <c r="E322" i="2" s="1"/>
  <c r="G1289" i="1"/>
  <c r="E318" i="2" s="1"/>
  <c r="G1273" i="1"/>
  <c r="E314" i="2" s="1"/>
  <c r="G1257" i="1"/>
  <c r="E310" i="2" s="1"/>
  <c r="G1241" i="1"/>
  <c r="E306" i="2" s="1"/>
  <c r="G1211" i="1"/>
  <c r="E298" i="2" s="1"/>
  <c r="G1195" i="1"/>
  <c r="E294" i="2" s="1"/>
  <c r="G1179" i="1"/>
  <c r="E290" i="2" s="1"/>
  <c r="G1163" i="1"/>
  <c r="E286" i="2" s="1"/>
  <c r="G1147" i="1"/>
  <c r="G649" i="1"/>
  <c r="E154" i="2" s="1"/>
  <c r="G633" i="1"/>
  <c r="E150" i="2" s="1"/>
  <c r="G617" i="1"/>
  <c r="E146" i="2" s="1"/>
  <c r="G601" i="1"/>
  <c r="E142" i="2" s="1"/>
  <c r="G585" i="1"/>
  <c r="E138" i="2" s="1"/>
  <c r="G567" i="1"/>
  <c r="E133" i="2" s="1"/>
  <c r="G551" i="1"/>
  <c r="E129" i="2" s="1"/>
  <c r="G535" i="1"/>
  <c r="E125" i="2" s="1"/>
  <c r="G523" i="1"/>
  <c r="E122" i="2" s="1"/>
  <c r="G507" i="1"/>
  <c r="E118" i="2" s="1"/>
  <c r="G491" i="1"/>
  <c r="G301" i="1"/>
  <c r="E68" i="2" s="1"/>
  <c r="G285" i="1"/>
  <c r="E64" i="2" s="1"/>
  <c r="G269" i="1"/>
  <c r="E60" i="2" s="1"/>
  <c r="G239" i="1"/>
  <c r="E56" i="2" s="1"/>
  <c r="A2" i="4"/>
  <c r="G1310" i="1" l="1"/>
  <c r="J23" i="4" s="1"/>
  <c r="G408" i="1"/>
  <c r="G654" i="1"/>
  <c r="R15" i="4" s="1"/>
  <c r="G1064" i="1"/>
  <c r="K20" i="4" s="1"/>
  <c r="G9" i="1"/>
  <c r="H8" i="4" s="1"/>
  <c r="G736" i="1"/>
  <c r="E178" i="2"/>
  <c r="G1474" i="1"/>
  <c r="H25" i="4" s="1"/>
  <c r="G1392" i="1"/>
  <c r="G314" i="1"/>
  <c r="H11" i="4" s="1"/>
  <c r="G982" i="1"/>
  <c r="N19" i="4" s="1"/>
  <c r="G572" i="1"/>
  <c r="G1556" i="1"/>
  <c r="E387" i="2"/>
  <c r="G818" i="1"/>
  <c r="G1638" i="1"/>
  <c r="G490" i="1"/>
  <c r="E114" i="2"/>
  <c r="E282" i="2"/>
  <c r="G1146" i="1"/>
  <c r="G203" i="1"/>
  <c r="H10" i="4" s="1"/>
  <c r="E51" i="2"/>
  <c r="G900" i="1"/>
  <c r="E219" i="2"/>
  <c r="G109" i="1"/>
  <c r="H9" i="4" s="1"/>
  <c r="E30" i="2"/>
  <c r="G1228" i="1"/>
  <c r="I12" i="4" l="1"/>
  <c r="H12" i="4"/>
  <c r="N11" i="4"/>
  <c r="I8" i="4"/>
  <c r="C331" i="2"/>
  <c r="Q23" i="4"/>
  <c r="F23" i="4"/>
  <c r="C340" i="2"/>
  <c r="E23" i="4"/>
  <c r="V23" i="4"/>
  <c r="E323" i="2"/>
  <c r="C338" i="2"/>
  <c r="H23" i="4"/>
  <c r="C333" i="2"/>
  <c r="L23" i="4"/>
  <c r="K23" i="4"/>
  <c r="M12" i="4"/>
  <c r="C88" i="2"/>
  <c r="E92" i="2"/>
  <c r="C108" i="2"/>
  <c r="F11" i="4"/>
  <c r="Z12" i="4"/>
  <c r="C95" i="2"/>
  <c r="Q11" i="4"/>
  <c r="C106" i="2"/>
  <c r="P12" i="4"/>
  <c r="C11" i="4"/>
  <c r="F19" i="4"/>
  <c r="C111" i="2"/>
  <c r="O12" i="4"/>
  <c r="C79" i="2"/>
  <c r="C101" i="2"/>
  <c r="V12" i="4"/>
  <c r="AC12" i="4"/>
  <c r="L11" i="4"/>
  <c r="C72" i="2"/>
  <c r="AC11" i="4"/>
  <c r="V11" i="4"/>
  <c r="C89" i="2"/>
  <c r="C82" i="2"/>
  <c r="G11" i="4"/>
  <c r="C343" i="2"/>
  <c r="C327" i="2"/>
  <c r="C332" i="2"/>
  <c r="C329" i="2"/>
  <c r="C334" i="2"/>
  <c r="M23" i="4"/>
  <c r="T23" i="4"/>
  <c r="I23" i="4"/>
  <c r="W23" i="4"/>
  <c r="G23" i="4"/>
  <c r="R23" i="4"/>
  <c r="C336" i="2"/>
  <c r="C341" i="2"/>
  <c r="C325" i="2"/>
  <c r="C339" i="2"/>
  <c r="AC23" i="4"/>
  <c r="C330" i="2"/>
  <c r="AB39" i="3"/>
  <c r="D23" i="4"/>
  <c r="X23" i="4"/>
  <c r="S23" i="4"/>
  <c r="C23" i="4"/>
  <c r="N23" i="4"/>
  <c r="C328" i="2"/>
  <c r="C335" i="2"/>
  <c r="C324" i="2"/>
  <c r="C337" i="2"/>
  <c r="C342" i="2"/>
  <c r="C326" i="2"/>
  <c r="U23" i="4"/>
  <c r="Y23" i="4"/>
  <c r="P23" i="4"/>
  <c r="O23" i="4"/>
  <c r="Z23" i="4"/>
  <c r="C84" i="2"/>
  <c r="C75" i="2"/>
  <c r="AB15" i="3"/>
  <c r="I11" i="4"/>
  <c r="C105" i="2"/>
  <c r="C96" i="2"/>
  <c r="L12" i="4"/>
  <c r="X12" i="4"/>
  <c r="C12" i="4"/>
  <c r="C73" i="2"/>
  <c r="C91" i="2"/>
  <c r="C78" i="2"/>
  <c r="M11" i="4"/>
  <c r="X11" i="4"/>
  <c r="R11" i="4"/>
  <c r="C94" i="2"/>
  <c r="C112" i="2"/>
  <c r="C99" i="2"/>
  <c r="D12" i="4"/>
  <c r="S12" i="4"/>
  <c r="Q12" i="4"/>
  <c r="C172" i="2"/>
  <c r="AC15" i="4"/>
  <c r="C240" i="2"/>
  <c r="E71" i="2"/>
  <c r="C81" i="2"/>
  <c r="C76" i="2"/>
  <c r="C83" i="2"/>
  <c r="C86" i="2"/>
  <c r="U11" i="4"/>
  <c r="E11" i="4"/>
  <c r="Y11" i="4"/>
  <c r="O11" i="4"/>
  <c r="P11" i="4"/>
  <c r="Z11" i="4"/>
  <c r="J11" i="4"/>
  <c r="C157" i="2"/>
  <c r="Q15" i="4"/>
  <c r="J19" i="4"/>
  <c r="C102" i="2"/>
  <c r="C109" i="2"/>
  <c r="C93" i="2"/>
  <c r="C100" i="2"/>
  <c r="C103" i="2"/>
  <c r="AB17" i="3"/>
  <c r="T12" i="4"/>
  <c r="J12" i="4"/>
  <c r="W12" i="4"/>
  <c r="G12" i="4"/>
  <c r="U12" i="4"/>
  <c r="E12" i="4"/>
  <c r="C174" i="2"/>
  <c r="P15" i="4"/>
  <c r="C77" i="2"/>
  <c r="C85" i="2"/>
  <c r="C80" i="2"/>
  <c r="C87" i="2"/>
  <c r="C90" i="2"/>
  <c r="C74" i="2"/>
  <c r="S11" i="4"/>
  <c r="K11" i="4"/>
  <c r="W11" i="4"/>
  <c r="T11" i="4"/>
  <c r="D11" i="4"/>
  <c r="C170" i="2"/>
  <c r="L15" i="4"/>
  <c r="C247" i="2"/>
  <c r="C110" i="2"/>
  <c r="C98" i="2"/>
  <c r="C97" i="2"/>
  <c r="C104" i="2"/>
  <c r="C107" i="2"/>
  <c r="N12" i="4"/>
  <c r="F12" i="4"/>
  <c r="R12" i="4"/>
  <c r="K12" i="4"/>
  <c r="Y12" i="4"/>
  <c r="Y19" i="4"/>
  <c r="Q19" i="4"/>
  <c r="E8" i="4"/>
  <c r="C20" i="2"/>
  <c r="R8" i="4"/>
  <c r="X8" i="4"/>
  <c r="C16" i="2"/>
  <c r="C17" i="2"/>
  <c r="C26" i="2"/>
  <c r="C10" i="2"/>
  <c r="F8" i="4"/>
  <c r="W8" i="4"/>
  <c r="G8" i="4"/>
  <c r="U8" i="4"/>
  <c r="C169" i="2"/>
  <c r="C251" i="2"/>
  <c r="M19" i="4"/>
  <c r="P19" i="4"/>
  <c r="C156" i="2"/>
  <c r="I15" i="4"/>
  <c r="S15" i="4"/>
  <c r="V15" i="4"/>
  <c r="C161" i="2"/>
  <c r="C171" i="2"/>
  <c r="G15" i="4"/>
  <c r="K15" i="4"/>
  <c r="N15" i="4"/>
  <c r="C249" i="2"/>
  <c r="AB31" i="3"/>
  <c r="L19" i="4"/>
  <c r="C167" i="2"/>
  <c r="C259" i="2"/>
  <c r="C256" i="2"/>
  <c r="C254" i="2"/>
  <c r="U19" i="4"/>
  <c r="O19" i="4"/>
  <c r="Z19" i="4"/>
  <c r="AA19" i="4" s="1"/>
  <c r="E155" i="2"/>
  <c r="C164" i="2"/>
  <c r="C166" i="2"/>
  <c r="Y15" i="4"/>
  <c r="U15" i="4"/>
  <c r="C15" i="4"/>
  <c r="D15" i="4"/>
  <c r="J15" i="4"/>
  <c r="C165" i="2"/>
  <c r="C160" i="2"/>
  <c r="C163" i="2"/>
  <c r="C158" i="2"/>
  <c r="W15" i="4"/>
  <c r="M15" i="4"/>
  <c r="T15" i="4"/>
  <c r="Z15" i="4"/>
  <c r="F15" i="4"/>
  <c r="C257" i="2"/>
  <c r="C252" i="2"/>
  <c r="C250" i="2"/>
  <c r="E19" i="4"/>
  <c r="G19" i="4"/>
  <c r="V19" i="4"/>
  <c r="Q20" i="4"/>
  <c r="AB33" i="3"/>
  <c r="C266" i="2"/>
  <c r="I25" i="4"/>
  <c r="C273" i="2"/>
  <c r="T20" i="4"/>
  <c r="G20" i="4"/>
  <c r="C370" i="2"/>
  <c r="J25" i="4"/>
  <c r="D25" i="4"/>
  <c r="C366" i="2"/>
  <c r="W25" i="4"/>
  <c r="C376" i="2"/>
  <c r="E365" i="2"/>
  <c r="C377" i="2"/>
  <c r="S25" i="4"/>
  <c r="AC25" i="4"/>
  <c r="T25" i="4"/>
  <c r="E260" i="2"/>
  <c r="W20" i="4"/>
  <c r="Z20" i="4"/>
  <c r="C379" i="2"/>
  <c r="N25" i="4"/>
  <c r="M25" i="4"/>
  <c r="C375" i="2"/>
  <c r="AB43" i="3"/>
  <c r="C372" i="2"/>
  <c r="C382" i="2"/>
  <c r="C373" i="2"/>
  <c r="C25" i="4"/>
  <c r="Y25" i="4"/>
  <c r="P25" i="4"/>
  <c r="C274" i="2"/>
  <c r="C267" i="2"/>
  <c r="I20" i="4"/>
  <c r="C384" i="2"/>
  <c r="C368" i="2"/>
  <c r="C371" i="2"/>
  <c r="C378" i="2"/>
  <c r="C385" i="2"/>
  <c r="C369" i="2"/>
  <c r="V25" i="4"/>
  <c r="Z25" i="4"/>
  <c r="AA25" i="4" s="1"/>
  <c r="O25" i="4"/>
  <c r="U25" i="4"/>
  <c r="E25" i="4"/>
  <c r="L25" i="4"/>
  <c r="C280" i="2"/>
  <c r="C272" i="2"/>
  <c r="C264" i="2"/>
  <c r="C269" i="2"/>
  <c r="C279" i="2"/>
  <c r="C263" i="2"/>
  <c r="O20" i="4"/>
  <c r="L20" i="4"/>
  <c r="V20" i="4"/>
  <c r="AC20" i="4"/>
  <c r="M20" i="4"/>
  <c r="C20" i="4"/>
  <c r="C380" i="2"/>
  <c r="C383" i="2"/>
  <c r="C367" i="2"/>
  <c r="C374" i="2"/>
  <c r="C381" i="2"/>
  <c r="K25" i="4"/>
  <c r="F25" i="4"/>
  <c r="R25" i="4"/>
  <c r="G25" i="4"/>
  <c r="Q25" i="4"/>
  <c r="X25" i="4"/>
  <c r="C173" i="2"/>
  <c r="C168" i="2"/>
  <c r="C175" i="2"/>
  <c r="C159" i="2"/>
  <c r="C162" i="2"/>
  <c r="AB23" i="3"/>
  <c r="O15" i="4"/>
  <c r="E15" i="4"/>
  <c r="X15" i="4"/>
  <c r="H15" i="4"/>
  <c r="C278" i="2"/>
  <c r="C270" i="2"/>
  <c r="C262" i="2"/>
  <c r="C265" i="2"/>
  <c r="C275" i="2"/>
  <c r="P20" i="4"/>
  <c r="X20" i="4"/>
  <c r="S20" i="4"/>
  <c r="R20" i="4"/>
  <c r="Y20" i="4"/>
  <c r="H20" i="4"/>
  <c r="E20" i="4"/>
  <c r="C255" i="2"/>
  <c r="C241" i="2"/>
  <c r="C248" i="2"/>
  <c r="C243" i="2"/>
  <c r="C246" i="2"/>
  <c r="K19" i="4"/>
  <c r="S19" i="4"/>
  <c r="I19" i="4"/>
  <c r="X19" i="4"/>
  <c r="H19" i="4"/>
  <c r="R19" i="4"/>
  <c r="C276" i="2"/>
  <c r="C268" i="2"/>
  <c r="C277" i="2"/>
  <c r="C261" i="2"/>
  <c r="C271" i="2"/>
  <c r="D20" i="4"/>
  <c r="F20" i="4"/>
  <c r="J20" i="4"/>
  <c r="N20" i="4"/>
  <c r="U20" i="4"/>
  <c r="E239" i="2"/>
  <c r="C253" i="2"/>
  <c r="C245" i="2"/>
  <c r="C244" i="2"/>
  <c r="C258" i="2"/>
  <c r="C242" i="2"/>
  <c r="AC19" i="4"/>
  <c r="C19" i="4"/>
  <c r="W19" i="4"/>
  <c r="T19" i="4"/>
  <c r="D19" i="4"/>
  <c r="C24" i="2"/>
  <c r="C19" i="2"/>
  <c r="C22" i="2"/>
  <c r="E8" i="2"/>
  <c r="C13" i="2"/>
  <c r="P8" i="4"/>
  <c r="T8" i="4"/>
  <c r="S8" i="4"/>
  <c r="C8" i="4"/>
  <c r="Q8" i="4"/>
  <c r="C15" i="2"/>
  <c r="C28" i="2"/>
  <c r="C12" i="2"/>
  <c r="C18" i="2"/>
  <c r="C25" i="2"/>
  <c r="C9" i="2"/>
  <c r="Z8" i="4"/>
  <c r="V8" i="4"/>
  <c r="L8" i="4"/>
  <c r="O8" i="4"/>
  <c r="AC8" i="4"/>
  <c r="M8" i="4"/>
  <c r="C23" i="2"/>
  <c r="C27" i="2"/>
  <c r="C11" i="2"/>
  <c r="C14" i="2"/>
  <c r="C21" i="2"/>
  <c r="AB9" i="3"/>
  <c r="J8" i="4"/>
  <c r="N8" i="4"/>
  <c r="D8" i="4"/>
  <c r="K8" i="4"/>
  <c r="Y8" i="4"/>
  <c r="C352" i="2"/>
  <c r="C353" i="2"/>
  <c r="C354" i="2"/>
  <c r="C345" i="2"/>
  <c r="E344" i="2"/>
  <c r="C357" i="2"/>
  <c r="C360" i="2"/>
  <c r="C362" i="2"/>
  <c r="C364" i="2"/>
  <c r="C348" i="2"/>
  <c r="C349" i="2"/>
  <c r="C350" i="2"/>
  <c r="C346" i="2"/>
  <c r="C356" i="2"/>
  <c r="C358" i="2"/>
  <c r="C359" i="2"/>
  <c r="C361" i="2"/>
  <c r="C363" i="2"/>
  <c r="Q24" i="4"/>
  <c r="F24" i="4"/>
  <c r="V24" i="4"/>
  <c r="W24" i="4"/>
  <c r="K24" i="4"/>
  <c r="C24" i="4"/>
  <c r="C355" i="2"/>
  <c r="E24" i="4"/>
  <c r="U24" i="4"/>
  <c r="J24" i="4"/>
  <c r="Z24" i="4"/>
  <c r="H24" i="4"/>
  <c r="L24" i="4"/>
  <c r="D24" i="4"/>
  <c r="S24" i="4"/>
  <c r="M24" i="4"/>
  <c r="R24" i="4"/>
  <c r="X24" i="4"/>
  <c r="C351" i="2"/>
  <c r="I24" i="4"/>
  <c r="Y24" i="4"/>
  <c r="N24" i="4"/>
  <c r="G24" i="4"/>
  <c r="P24" i="4"/>
  <c r="AB41" i="3"/>
  <c r="C347" i="2"/>
  <c r="AC24" i="4"/>
  <c r="O24" i="4"/>
  <c r="T24" i="4"/>
  <c r="C190" i="2"/>
  <c r="E176" i="2"/>
  <c r="C182" i="2"/>
  <c r="C178" i="2"/>
  <c r="C194" i="2"/>
  <c r="C186" i="2"/>
  <c r="M16" i="4"/>
  <c r="AC16" i="4"/>
  <c r="O16" i="4"/>
  <c r="L16" i="4"/>
  <c r="V16" i="4"/>
  <c r="J16" i="4"/>
  <c r="C183" i="2"/>
  <c r="C180" i="2"/>
  <c r="C196" i="2"/>
  <c r="C189" i="2"/>
  <c r="Q16" i="4"/>
  <c r="C16" i="4"/>
  <c r="S16" i="4"/>
  <c r="T16" i="4"/>
  <c r="P16" i="4"/>
  <c r="AB25" i="3"/>
  <c r="C187" i="2"/>
  <c r="C184" i="2"/>
  <c r="C177" i="2"/>
  <c r="C193" i="2"/>
  <c r="Y16" i="4"/>
  <c r="D16" i="4"/>
  <c r="H16" i="4"/>
  <c r="C195" i="2"/>
  <c r="E16" i="4"/>
  <c r="U16" i="4"/>
  <c r="G16" i="4"/>
  <c r="W16" i="4"/>
  <c r="F16" i="4"/>
  <c r="R16" i="4"/>
  <c r="X16" i="4"/>
  <c r="C191" i="2"/>
  <c r="C188" i="2"/>
  <c r="C181" i="2"/>
  <c r="Z16" i="4"/>
  <c r="I16" i="4"/>
  <c r="K16" i="4"/>
  <c r="N16" i="4"/>
  <c r="C179" i="2"/>
  <c r="C192" i="2"/>
  <c r="C185" i="2"/>
  <c r="C10" i="4"/>
  <c r="G10" i="4"/>
  <c r="K10" i="4"/>
  <c r="O10" i="4"/>
  <c r="S10" i="4"/>
  <c r="W10" i="4"/>
  <c r="E10" i="4"/>
  <c r="I10" i="4"/>
  <c r="M10" i="4"/>
  <c r="Q10" i="4"/>
  <c r="U10" i="4"/>
  <c r="Y10" i="4"/>
  <c r="AC10" i="4"/>
  <c r="F10" i="4"/>
  <c r="N10" i="4"/>
  <c r="V10" i="4"/>
  <c r="P10" i="4"/>
  <c r="X10" i="4"/>
  <c r="R10" i="4"/>
  <c r="D10" i="4"/>
  <c r="T10" i="4"/>
  <c r="J10" i="4"/>
  <c r="AB13" i="3"/>
  <c r="C51" i="2"/>
  <c r="C55" i="2"/>
  <c r="C59" i="2"/>
  <c r="C63" i="2"/>
  <c r="L10" i="4"/>
  <c r="E50" i="2"/>
  <c r="C52" i="2"/>
  <c r="C61" i="2"/>
  <c r="C62" i="2"/>
  <c r="C64" i="2"/>
  <c r="C69" i="2"/>
  <c r="Z10" i="4"/>
  <c r="C65" i="2"/>
  <c r="C66" i="2"/>
  <c r="C70" i="2"/>
  <c r="C53" i="2"/>
  <c r="C54" i="2"/>
  <c r="C56" i="2"/>
  <c r="C67" i="2"/>
  <c r="C58" i="2"/>
  <c r="C57" i="2"/>
  <c r="C68" i="2"/>
  <c r="C60" i="2"/>
  <c r="D13" i="4"/>
  <c r="H13" i="4"/>
  <c r="L13" i="4"/>
  <c r="P13" i="4"/>
  <c r="T13" i="4"/>
  <c r="X13" i="4"/>
  <c r="F13" i="4"/>
  <c r="J13" i="4"/>
  <c r="N13" i="4"/>
  <c r="R13" i="4"/>
  <c r="V13" i="4"/>
  <c r="Z13" i="4"/>
  <c r="I13" i="4"/>
  <c r="Q13" i="4"/>
  <c r="Y13" i="4"/>
  <c r="C13" i="4"/>
  <c r="K13" i="4"/>
  <c r="S13" i="4"/>
  <c r="O13" i="4"/>
  <c r="E13" i="4"/>
  <c r="U13" i="4"/>
  <c r="W13" i="4"/>
  <c r="AC13" i="4"/>
  <c r="AB19" i="3"/>
  <c r="G13" i="4"/>
  <c r="C116" i="2"/>
  <c r="C120" i="2"/>
  <c r="C124" i="2"/>
  <c r="C128" i="2"/>
  <c r="C132" i="2"/>
  <c r="C117" i="2"/>
  <c r="C121" i="2"/>
  <c r="C125" i="2"/>
  <c r="C129" i="2"/>
  <c r="C133" i="2"/>
  <c r="M13" i="4"/>
  <c r="C114" i="2"/>
  <c r="C118" i="2"/>
  <c r="C122" i="2"/>
  <c r="C126" i="2"/>
  <c r="C130" i="2"/>
  <c r="E113" i="2"/>
  <c r="C115" i="2"/>
  <c r="C119" i="2"/>
  <c r="C123" i="2"/>
  <c r="C127" i="2"/>
  <c r="C131" i="2"/>
  <c r="D17" i="4"/>
  <c r="H17" i="4"/>
  <c r="L17" i="4"/>
  <c r="P17" i="4"/>
  <c r="T17" i="4"/>
  <c r="X17" i="4"/>
  <c r="F17" i="4"/>
  <c r="J17" i="4"/>
  <c r="N17" i="4"/>
  <c r="R17" i="4"/>
  <c r="V17" i="4"/>
  <c r="Z17" i="4"/>
  <c r="E17" i="4"/>
  <c r="M17" i="4"/>
  <c r="U17" i="4"/>
  <c r="AC17" i="4"/>
  <c r="G17" i="4"/>
  <c r="O17" i="4"/>
  <c r="W17" i="4"/>
  <c r="K17" i="4"/>
  <c r="Q17" i="4"/>
  <c r="S17" i="4"/>
  <c r="Y17" i="4"/>
  <c r="AB27" i="3"/>
  <c r="C17" i="4"/>
  <c r="C200" i="2"/>
  <c r="C204" i="2"/>
  <c r="C208" i="2"/>
  <c r="C212" i="2"/>
  <c r="C216" i="2"/>
  <c r="C201" i="2"/>
  <c r="C205" i="2"/>
  <c r="C209" i="2"/>
  <c r="C213" i="2"/>
  <c r="C217" i="2"/>
  <c r="I17" i="4"/>
  <c r="C198" i="2"/>
  <c r="C202" i="2"/>
  <c r="C206" i="2"/>
  <c r="C210" i="2"/>
  <c r="C214" i="2"/>
  <c r="E197" i="2"/>
  <c r="C199" i="2"/>
  <c r="C203" i="2"/>
  <c r="C207" i="2"/>
  <c r="C211" i="2"/>
  <c r="C215" i="2"/>
  <c r="C22" i="4"/>
  <c r="G22" i="4"/>
  <c r="K22" i="4"/>
  <c r="O22" i="4"/>
  <c r="S22" i="4"/>
  <c r="W22" i="4"/>
  <c r="D22" i="4"/>
  <c r="H22" i="4"/>
  <c r="L22" i="4"/>
  <c r="P22" i="4"/>
  <c r="T22" i="4"/>
  <c r="X22" i="4"/>
  <c r="F22" i="4"/>
  <c r="N22" i="4"/>
  <c r="V22" i="4"/>
  <c r="I22" i="4"/>
  <c r="Q22" i="4"/>
  <c r="Y22" i="4"/>
  <c r="J22" i="4"/>
  <c r="Z22" i="4"/>
  <c r="M22" i="4"/>
  <c r="AC22" i="4"/>
  <c r="AB37" i="3"/>
  <c r="U22" i="4"/>
  <c r="E22" i="4"/>
  <c r="C305" i="2"/>
  <c r="C309" i="2"/>
  <c r="C313" i="2"/>
  <c r="C317" i="2"/>
  <c r="C321" i="2"/>
  <c r="R22" i="4"/>
  <c r="C315" i="2"/>
  <c r="C316" i="2"/>
  <c r="C318" i="2"/>
  <c r="C303" i="2"/>
  <c r="C304" i="2"/>
  <c r="C306" i="2"/>
  <c r="C319" i="2"/>
  <c r="C320" i="2"/>
  <c r="C322" i="2"/>
  <c r="E302" i="2"/>
  <c r="C307" i="2"/>
  <c r="C308" i="2"/>
  <c r="C310" i="2"/>
  <c r="C311" i="2"/>
  <c r="C312" i="2"/>
  <c r="C314" i="2"/>
  <c r="D9" i="4"/>
  <c r="L9" i="4"/>
  <c r="P9" i="4"/>
  <c r="T9" i="4"/>
  <c r="X9" i="4"/>
  <c r="F9" i="4"/>
  <c r="J9" i="4"/>
  <c r="N9" i="4"/>
  <c r="R9" i="4"/>
  <c r="V9" i="4"/>
  <c r="Z9" i="4"/>
  <c r="E9" i="4"/>
  <c r="M9" i="4"/>
  <c r="U9" i="4"/>
  <c r="AC9" i="4"/>
  <c r="G9" i="4"/>
  <c r="O9" i="4"/>
  <c r="W9" i="4"/>
  <c r="C9" i="4"/>
  <c r="S9" i="4"/>
  <c r="I9" i="4"/>
  <c r="Y9" i="4"/>
  <c r="K9" i="4"/>
  <c r="Q9" i="4"/>
  <c r="AB11" i="3"/>
  <c r="C30" i="2"/>
  <c r="C34" i="2"/>
  <c r="C38" i="2"/>
  <c r="C42" i="2"/>
  <c r="C46" i="2"/>
  <c r="E29" i="2"/>
  <c r="C31" i="2"/>
  <c r="C35" i="2"/>
  <c r="C39" i="2"/>
  <c r="C43" i="2"/>
  <c r="C47" i="2"/>
  <c r="C36" i="2"/>
  <c r="C41" i="2"/>
  <c r="C32" i="2"/>
  <c r="C37" i="2"/>
  <c r="C48" i="2"/>
  <c r="C33" i="2"/>
  <c r="C44" i="2"/>
  <c r="C49" i="2"/>
  <c r="C40" i="2"/>
  <c r="C45" i="2"/>
  <c r="D21" i="4"/>
  <c r="H21" i="4"/>
  <c r="L21" i="4"/>
  <c r="P21" i="4"/>
  <c r="T21" i="4"/>
  <c r="X21" i="4"/>
  <c r="E21" i="4"/>
  <c r="I21" i="4"/>
  <c r="M21" i="4"/>
  <c r="Q21" i="4"/>
  <c r="U21" i="4"/>
  <c r="Y21" i="4"/>
  <c r="AC21" i="4"/>
  <c r="C21" i="4"/>
  <c r="K21" i="4"/>
  <c r="S21" i="4"/>
  <c r="F21" i="4"/>
  <c r="N21" i="4"/>
  <c r="V21" i="4"/>
  <c r="J21" i="4"/>
  <c r="Z21" i="4"/>
  <c r="O21" i="4"/>
  <c r="AB35" i="3"/>
  <c r="G21" i="4"/>
  <c r="R21" i="4"/>
  <c r="C284" i="2"/>
  <c r="C288" i="2"/>
  <c r="C292" i="2"/>
  <c r="C296" i="2"/>
  <c r="C300" i="2"/>
  <c r="W21" i="4"/>
  <c r="C282" i="2"/>
  <c r="C283" i="2"/>
  <c r="C285" i="2"/>
  <c r="C298" i="2"/>
  <c r="C299" i="2"/>
  <c r="C301" i="2"/>
  <c r="E281" i="2"/>
  <c r="C286" i="2"/>
  <c r="C287" i="2"/>
  <c r="C289" i="2"/>
  <c r="C290" i="2"/>
  <c r="C291" i="2"/>
  <c r="C293" i="2"/>
  <c r="C294" i="2"/>
  <c r="C295" i="2"/>
  <c r="C297" i="2"/>
  <c r="C26" i="4"/>
  <c r="G26" i="4"/>
  <c r="K26" i="4"/>
  <c r="O26" i="4"/>
  <c r="D26" i="4"/>
  <c r="H26" i="4"/>
  <c r="L26" i="4"/>
  <c r="P26" i="4"/>
  <c r="T26" i="4"/>
  <c r="J26" i="4"/>
  <c r="R26" i="4"/>
  <c r="W26" i="4"/>
  <c r="E26" i="4"/>
  <c r="M26" i="4"/>
  <c r="S26" i="4"/>
  <c r="X26" i="4"/>
  <c r="Q26" i="4"/>
  <c r="Z26" i="4"/>
  <c r="F26" i="4"/>
  <c r="U26" i="4"/>
  <c r="AC26" i="4"/>
  <c r="AB45" i="3"/>
  <c r="I26" i="4"/>
  <c r="N26" i="4"/>
  <c r="Y26" i="4"/>
  <c r="V26" i="4"/>
  <c r="C390" i="2"/>
  <c r="C387" i="2"/>
  <c r="C391" i="2"/>
  <c r="C395" i="2"/>
  <c r="C399" i="2"/>
  <c r="C403" i="2"/>
  <c r="E386" i="2"/>
  <c r="C388" i="2"/>
  <c r="C392" i="2"/>
  <c r="C396" i="2"/>
  <c r="C400" i="2"/>
  <c r="C389" i="2"/>
  <c r="C393" i="2"/>
  <c r="C397" i="2"/>
  <c r="C406" i="2"/>
  <c r="C394" i="2"/>
  <c r="C398" i="2"/>
  <c r="C401" i="2"/>
  <c r="C402" i="2"/>
  <c r="C404" i="2"/>
  <c r="C405" i="2"/>
  <c r="C14" i="4"/>
  <c r="G14" i="4"/>
  <c r="K14" i="4"/>
  <c r="O14" i="4"/>
  <c r="S14" i="4"/>
  <c r="W14" i="4"/>
  <c r="E14" i="4"/>
  <c r="I14" i="4"/>
  <c r="M14" i="4"/>
  <c r="Q14" i="4"/>
  <c r="U14" i="4"/>
  <c r="Y14" i="4"/>
  <c r="AC14" i="4"/>
  <c r="J14" i="4"/>
  <c r="R14" i="4"/>
  <c r="Z14" i="4"/>
  <c r="D14" i="4"/>
  <c r="L14" i="4"/>
  <c r="T14" i="4"/>
  <c r="N14" i="4"/>
  <c r="P14" i="4"/>
  <c r="F14" i="4"/>
  <c r="H14" i="4"/>
  <c r="AB21" i="3"/>
  <c r="V14" i="4"/>
  <c r="C137" i="2"/>
  <c r="C141" i="2"/>
  <c r="C145" i="2"/>
  <c r="C149" i="2"/>
  <c r="C153" i="2"/>
  <c r="X14" i="4"/>
  <c r="C138" i="2"/>
  <c r="C142" i="2"/>
  <c r="C146" i="2"/>
  <c r="C150" i="2"/>
  <c r="C154" i="2"/>
  <c r="C135" i="2"/>
  <c r="C139" i="2"/>
  <c r="C143" i="2"/>
  <c r="C147" i="2"/>
  <c r="C151" i="2"/>
  <c r="C136" i="2"/>
  <c r="C140" i="2"/>
  <c r="C144" i="2"/>
  <c r="C148" i="2"/>
  <c r="C152" i="2"/>
  <c r="E134" i="2"/>
  <c r="C18" i="4"/>
  <c r="G18" i="4"/>
  <c r="K18" i="4"/>
  <c r="O18" i="4"/>
  <c r="S18" i="4"/>
  <c r="W18" i="4"/>
  <c r="E18" i="4"/>
  <c r="I18" i="4"/>
  <c r="M18" i="4"/>
  <c r="Q18" i="4"/>
  <c r="U18" i="4"/>
  <c r="Y18" i="4"/>
  <c r="AC18" i="4"/>
  <c r="F18" i="4"/>
  <c r="N18" i="4"/>
  <c r="V18" i="4"/>
  <c r="H18" i="4"/>
  <c r="P18" i="4"/>
  <c r="X18" i="4"/>
  <c r="J18" i="4"/>
  <c r="Z18" i="4"/>
  <c r="L18" i="4"/>
  <c r="D18" i="4"/>
  <c r="R18" i="4"/>
  <c r="AB29" i="3"/>
  <c r="T18" i="4"/>
  <c r="C221" i="2"/>
  <c r="C225" i="2"/>
  <c r="C229" i="2"/>
  <c r="C233" i="2"/>
  <c r="C237" i="2"/>
  <c r="C222" i="2"/>
  <c r="C226" i="2"/>
  <c r="C230" i="2"/>
  <c r="C234" i="2"/>
  <c r="C238" i="2"/>
  <c r="C219" i="2"/>
  <c r="C223" i="2"/>
  <c r="C227" i="2"/>
  <c r="C231" i="2"/>
  <c r="C235" i="2"/>
  <c r="C232" i="2"/>
  <c r="C220" i="2"/>
  <c r="C236" i="2"/>
  <c r="C224" i="2"/>
  <c r="E218" i="2"/>
  <c r="C228" i="2"/>
  <c r="F27" i="4"/>
  <c r="J27" i="4"/>
  <c r="N27" i="4"/>
  <c r="R27" i="4"/>
  <c r="V27" i="4"/>
  <c r="Z27" i="4"/>
  <c r="C27" i="4"/>
  <c r="G27" i="4"/>
  <c r="K27" i="4"/>
  <c r="O27" i="4"/>
  <c r="S27" i="4"/>
  <c r="W27" i="4"/>
  <c r="D27" i="4"/>
  <c r="L27" i="4"/>
  <c r="T27" i="4"/>
  <c r="E27" i="4"/>
  <c r="M27" i="4"/>
  <c r="U27" i="4"/>
  <c r="AC27" i="4"/>
  <c r="AB47" i="3"/>
  <c r="P27" i="4"/>
  <c r="Q27" i="4"/>
  <c r="I27" i="4"/>
  <c r="X27" i="4"/>
  <c r="Y27" i="4"/>
  <c r="H27" i="4"/>
  <c r="C411" i="2"/>
  <c r="C415" i="2"/>
  <c r="C419" i="2"/>
  <c r="C423" i="2"/>
  <c r="C427" i="2"/>
  <c r="C408" i="2"/>
  <c r="C412" i="2"/>
  <c r="C416" i="2"/>
  <c r="C420" i="2"/>
  <c r="C424" i="2"/>
  <c r="E407" i="2"/>
  <c r="C409" i="2"/>
  <c r="C413" i="2"/>
  <c r="C417" i="2"/>
  <c r="C421" i="2"/>
  <c r="C425" i="2"/>
  <c r="C410" i="2"/>
  <c r="C414" i="2"/>
  <c r="C418" i="2"/>
  <c r="C422" i="2"/>
  <c r="C426" i="2"/>
  <c r="G1719" i="1"/>
  <c r="E430" i="2"/>
  <c r="G1720" i="1"/>
  <c r="AA12" i="4" l="1"/>
  <c r="AB12" i="4"/>
  <c r="AD12" i="4" s="1"/>
  <c r="AB11" i="4"/>
  <c r="AD11" i="4" s="1"/>
  <c r="AB10" i="4"/>
  <c r="AD10" i="4" s="1"/>
  <c r="AB9" i="4"/>
  <c r="AD9" i="4" s="1"/>
  <c r="G29" i="4"/>
  <c r="G38" i="4" s="1"/>
  <c r="D29" i="4"/>
  <c r="D38" i="4" s="1"/>
  <c r="F29" i="4"/>
  <c r="F31" i="4" s="1"/>
  <c r="E29" i="4"/>
  <c r="E31" i="4" s="1"/>
  <c r="AB8" i="4"/>
  <c r="AD8" i="4" s="1"/>
  <c r="H29" i="4"/>
  <c r="H38" i="4" s="1"/>
  <c r="G1727" i="1"/>
  <c r="G1735" i="1"/>
  <c r="AA8" i="4"/>
  <c r="AB23" i="4"/>
  <c r="AA23" i="4"/>
  <c r="AA11" i="4"/>
  <c r="AA15" i="4"/>
  <c r="AB19" i="4"/>
  <c r="AB25" i="4"/>
  <c r="O29" i="4"/>
  <c r="O38" i="4" s="1"/>
  <c r="AA20" i="4"/>
  <c r="AB15" i="4"/>
  <c r="AA24" i="4"/>
  <c r="AB20" i="4"/>
  <c r="T29" i="4"/>
  <c r="T31" i="4" s="1"/>
  <c r="AA17" i="4"/>
  <c r="C29" i="4"/>
  <c r="C38" i="4" s="1"/>
  <c r="Q29" i="4"/>
  <c r="Q38" i="4" s="1"/>
  <c r="AA26" i="4"/>
  <c r="AA9" i="4"/>
  <c r="AA22" i="4"/>
  <c r="AA13" i="4"/>
  <c r="AA16" i="4"/>
  <c r="P29" i="4"/>
  <c r="P38" i="4" s="1"/>
  <c r="V29" i="4"/>
  <c r="V38" i="4" s="1"/>
  <c r="X29" i="4"/>
  <c r="X38" i="4" s="1"/>
  <c r="R29" i="4"/>
  <c r="R38" i="4" s="1"/>
  <c r="U29" i="4"/>
  <c r="U38" i="4" s="1"/>
  <c r="K29" i="4"/>
  <c r="K38" i="4" s="1"/>
  <c r="J29" i="4"/>
  <c r="J38" i="4" s="1"/>
  <c r="AB24" i="4"/>
  <c r="W29" i="4"/>
  <c r="W38" i="4" s="1"/>
  <c r="I29" i="4"/>
  <c r="I38" i="4" s="1"/>
  <c r="AB16" i="4"/>
  <c r="L29" i="4"/>
  <c r="L38" i="4" s="1"/>
  <c r="Z29" i="4"/>
  <c r="Z38" i="4" s="1"/>
  <c r="M29" i="4"/>
  <c r="M38" i="4" s="1"/>
  <c r="S29" i="4"/>
  <c r="S38" i="4" s="1"/>
  <c r="N29" i="4"/>
  <c r="N38" i="4" s="1"/>
  <c r="AA27" i="4"/>
  <c r="AB27" i="4"/>
  <c r="AB14" i="4"/>
  <c r="AB21" i="4"/>
  <c r="AB18" i="4"/>
  <c r="AA14" i="4"/>
  <c r="Z30" i="4"/>
  <c r="Z40" i="4" s="1"/>
  <c r="D8" i="2"/>
  <c r="D12" i="2"/>
  <c r="D16" i="2"/>
  <c r="D20" i="2"/>
  <c r="D24" i="2"/>
  <c r="D28" i="2"/>
  <c r="D29" i="2"/>
  <c r="D33" i="2"/>
  <c r="D37" i="2"/>
  <c r="D41" i="2"/>
  <c r="D45" i="2"/>
  <c r="D49" i="2"/>
  <c r="D50" i="2"/>
  <c r="D54" i="2"/>
  <c r="D58" i="2"/>
  <c r="D62" i="2"/>
  <c r="D9" i="2"/>
  <c r="D13" i="2"/>
  <c r="D17" i="2"/>
  <c r="D21" i="2"/>
  <c r="D25" i="2"/>
  <c r="D30" i="2"/>
  <c r="D34" i="2"/>
  <c r="D38" i="2"/>
  <c r="D42" i="2"/>
  <c r="D46" i="2"/>
  <c r="D51" i="2"/>
  <c r="D15" i="2"/>
  <c r="D23" i="2"/>
  <c r="D35" i="2"/>
  <c r="D40" i="2"/>
  <c r="D57" i="2"/>
  <c r="D60" i="2"/>
  <c r="D63" i="2"/>
  <c r="D68" i="2"/>
  <c r="D73" i="2"/>
  <c r="D77" i="2"/>
  <c r="D81" i="2"/>
  <c r="D85" i="2"/>
  <c r="D89" i="2"/>
  <c r="D94" i="2"/>
  <c r="D98" i="2"/>
  <c r="D102" i="2"/>
  <c r="D106" i="2"/>
  <c r="D110" i="2"/>
  <c r="D115" i="2"/>
  <c r="D119" i="2"/>
  <c r="D123" i="2"/>
  <c r="D127" i="2"/>
  <c r="D131" i="2"/>
  <c r="D136" i="2"/>
  <c r="D140" i="2"/>
  <c r="D144" i="2"/>
  <c r="D148" i="2"/>
  <c r="D152" i="2"/>
  <c r="D157" i="2"/>
  <c r="D161" i="2"/>
  <c r="D165" i="2"/>
  <c r="D169" i="2"/>
  <c r="D173" i="2"/>
  <c r="D178" i="2"/>
  <c r="D182" i="2"/>
  <c r="D186" i="2"/>
  <c r="D190" i="2"/>
  <c r="D194" i="2"/>
  <c r="D199" i="2"/>
  <c r="D203" i="2"/>
  <c r="D207" i="2"/>
  <c r="D211" i="2"/>
  <c r="D215" i="2"/>
  <c r="D220" i="2"/>
  <c r="D224" i="2"/>
  <c r="D228" i="2"/>
  <c r="D232" i="2"/>
  <c r="D236" i="2"/>
  <c r="D241" i="2"/>
  <c r="D245" i="2"/>
  <c r="D249" i="2"/>
  <c r="D253" i="2"/>
  <c r="D257" i="2"/>
  <c r="D262" i="2"/>
  <c r="D266" i="2"/>
  <c r="D270" i="2"/>
  <c r="D274" i="2"/>
  <c r="D278" i="2"/>
  <c r="D283" i="2"/>
  <c r="D287" i="2"/>
  <c r="D291" i="2"/>
  <c r="D295" i="2"/>
  <c r="D299" i="2"/>
  <c r="D304" i="2"/>
  <c r="D308" i="2"/>
  <c r="D312" i="2"/>
  <c r="D316" i="2"/>
  <c r="D320" i="2"/>
  <c r="D325" i="2"/>
  <c r="D329" i="2"/>
  <c r="D333" i="2"/>
  <c r="D337" i="2"/>
  <c r="D341" i="2"/>
  <c r="D346" i="2"/>
  <c r="D350" i="2"/>
  <c r="D354" i="2"/>
  <c r="D10" i="2"/>
  <c r="D18" i="2"/>
  <c r="D26" i="2"/>
  <c r="D31" i="2"/>
  <c r="D36" i="2"/>
  <c r="D47" i="2"/>
  <c r="D61" i="2"/>
  <c r="D64" i="2"/>
  <c r="D69" i="2"/>
  <c r="D74" i="2"/>
  <c r="D78" i="2"/>
  <c r="D82" i="2"/>
  <c r="D86" i="2"/>
  <c r="D90" i="2"/>
  <c r="D95" i="2"/>
  <c r="D99" i="2"/>
  <c r="D103" i="2"/>
  <c r="D107" i="2"/>
  <c r="D111" i="2"/>
  <c r="D116" i="2"/>
  <c r="D120" i="2"/>
  <c r="D124" i="2"/>
  <c r="D128" i="2"/>
  <c r="D132" i="2"/>
  <c r="D137" i="2"/>
  <c r="D141" i="2"/>
  <c r="D145" i="2"/>
  <c r="D149" i="2"/>
  <c r="D153" i="2"/>
  <c r="D158" i="2"/>
  <c r="D162" i="2"/>
  <c r="D166" i="2"/>
  <c r="D170" i="2"/>
  <c r="D174" i="2"/>
  <c r="D179" i="2"/>
  <c r="D183" i="2"/>
  <c r="D187" i="2"/>
  <c r="D191" i="2"/>
  <c r="D195" i="2"/>
  <c r="D200" i="2"/>
  <c r="D204" i="2"/>
  <c r="D208" i="2"/>
  <c r="D212" i="2"/>
  <c r="D216" i="2"/>
  <c r="D221" i="2"/>
  <c r="D225" i="2"/>
  <c r="D229" i="2"/>
  <c r="D233" i="2"/>
  <c r="D237" i="2"/>
  <c r="D242" i="2"/>
  <c r="D246" i="2"/>
  <c r="D11" i="2"/>
  <c r="D19" i="2"/>
  <c r="D27" i="2"/>
  <c r="D32" i="2"/>
  <c r="D43" i="2"/>
  <c r="D48" i="2"/>
  <c r="D52" i="2"/>
  <c r="D55" i="2"/>
  <c r="D65" i="2"/>
  <c r="D66" i="2"/>
  <c r="D70" i="2"/>
  <c r="D71" i="2"/>
  <c r="D75" i="2"/>
  <c r="D79" i="2"/>
  <c r="D83" i="2"/>
  <c r="D87" i="2"/>
  <c r="D91" i="2"/>
  <c r="D92" i="2"/>
  <c r="D96" i="2"/>
  <c r="D100" i="2"/>
  <c r="D104" i="2"/>
  <c r="D108" i="2"/>
  <c r="D112" i="2"/>
  <c r="D113" i="2"/>
  <c r="D117" i="2"/>
  <c r="D121" i="2"/>
  <c r="D125" i="2"/>
  <c r="D129" i="2"/>
  <c r="D133" i="2"/>
  <c r="D134" i="2"/>
  <c r="D138" i="2"/>
  <c r="D142" i="2"/>
  <c r="D146" i="2"/>
  <c r="D150" i="2"/>
  <c r="D154" i="2"/>
  <c r="D155" i="2"/>
  <c r="D159" i="2"/>
  <c r="D163" i="2"/>
  <c r="D167" i="2"/>
  <c r="D171" i="2"/>
  <c r="D175" i="2"/>
  <c r="D176" i="2"/>
  <c r="D180" i="2"/>
  <c r="D184" i="2"/>
  <c r="D188" i="2"/>
  <c r="D192" i="2"/>
  <c r="D196" i="2"/>
  <c r="D197" i="2"/>
  <c r="D201" i="2"/>
  <c r="D205" i="2"/>
  <c r="D209" i="2"/>
  <c r="D213" i="2"/>
  <c r="D217" i="2"/>
  <c r="D218" i="2"/>
  <c r="D222" i="2"/>
  <c r="D226" i="2"/>
  <c r="D230" i="2"/>
  <c r="D234" i="2"/>
  <c r="D238" i="2"/>
  <c r="D239" i="2"/>
  <c r="D243" i="2"/>
  <c r="D247" i="2"/>
  <c r="D251" i="2"/>
  <c r="D255" i="2"/>
  <c r="D259" i="2"/>
  <c r="D260" i="2"/>
  <c r="D264" i="2"/>
  <c r="D268" i="2"/>
  <c r="D272" i="2"/>
  <c r="D276" i="2"/>
  <c r="D280" i="2"/>
  <c r="D281" i="2"/>
  <c r="D59" i="2"/>
  <c r="D80" i="2"/>
  <c r="D97" i="2"/>
  <c r="D105" i="2"/>
  <c r="D181" i="2"/>
  <c r="D189" i="2"/>
  <c r="D227" i="2"/>
  <c r="D244" i="2"/>
  <c r="D284" i="2"/>
  <c r="D294" i="2"/>
  <c r="D297" i="2"/>
  <c r="D300" i="2"/>
  <c r="D311" i="2"/>
  <c r="D314" i="2"/>
  <c r="D317" i="2"/>
  <c r="D328" i="2"/>
  <c r="D330" i="2"/>
  <c r="D336" i="2"/>
  <c r="D338" i="2"/>
  <c r="D345" i="2"/>
  <c r="D347" i="2"/>
  <c r="D353" i="2"/>
  <c r="D355" i="2"/>
  <c r="D359" i="2"/>
  <c r="D363" i="2"/>
  <c r="D368" i="2"/>
  <c r="D372" i="2"/>
  <c r="D376" i="2"/>
  <c r="D380" i="2"/>
  <c r="D384" i="2"/>
  <c r="D389" i="2"/>
  <c r="D22" i="2"/>
  <c r="D84" i="2"/>
  <c r="D156" i="2"/>
  <c r="D164" i="2"/>
  <c r="D172" i="2"/>
  <c r="D231" i="2"/>
  <c r="D261" i="2"/>
  <c r="D263" i="2"/>
  <c r="D265" i="2"/>
  <c r="D267" i="2"/>
  <c r="D269" i="2"/>
  <c r="D271" i="2"/>
  <c r="D273" i="2"/>
  <c r="D275" i="2"/>
  <c r="D277" i="2"/>
  <c r="D279" i="2"/>
  <c r="D282" i="2"/>
  <c r="D285" i="2"/>
  <c r="D288" i="2"/>
  <c r="D298" i="2"/>
  <c r="D301" i="2"/>
  <c r="D302" i="2"/>
  <c r="D305" i="2"/>
  <c r="D315" i="2"/>
  <c r="D318" i="2"/>
  <c r="D321" i="2"/>
  <c r="D331" i="2"/>
  <c r="D339" i="2"/>
  <c r="D348" i="2"/>
  <c r="D356" i="2"/>
  <c r="D360" i="2"/>
  <c r="D364" i="2"/>
  <c r="D365" i="2"/>
  <c r="D369" i="2"/>
  <c r="D373" i="2"/>
  <c r="D377" i="2"/>
  <c r="D381" i="2"/>
  <c r="D385" i="2"/>
  <c r="D386" i="2"/>
  <c r="D390" i="2"/>
  <c r="D394" i="2"/>
  <c r="D398" i="2"/>
  <c r="D402" i="2"/>
  <c r="D14" i="2"/>
  <c r="D44" i="2"/>
  <c r="D53" i="2"/>
  <c r="D72" i="2"/>
  <c r="D88" i="2"/>
  <c r="D93" i="2"/>
  <c r="D101" i="2"/>
  <c r="D109" i="2"/>
  <c r="D135" i="2"/>
  <c r="D139" i="2"/>
  <c r="D143" i="2"/>
  <c r="D147" i="2"/>
  <c r="D151" i="2"/>
  <c r="D177" i="2"/>
  <c r="D185" i="2"/>
  <c r="D193" i="2"/>
  <c r="D219" i="2"/>
  <c r="D235" i="2"/>
  <c r="D240" i="2"/>
  <c r="D248" i="2"/>
  <c r="D250" i="2"/>
  <c r="D252" i="2"/>
  <c r="D254" i="2"/>
  <c r="D256" i="2"/>
  <c r="D258" i="2"/>
  <c r="D286" i="2"/>
  <c r="D289" i="2"/>
  <c r="D292" i="2"/>
  <c r="D303" i="2"/>
  <c r="D306" i="2"/>
  <c r="D309" i="2"/>
  <c r="D319" i="2"/>
  <c r="D322" i="2"/>
  <c r="D323" i="2"/>
  <c r="D326" i="2"/>
  <c r="D332" i="2"/>
  <c r="D334" i="2"/>
  <c r="D340" i="2"/>
  <c r="D342" i="2"/>
  <c r="D349" i="2"/>
  <c r="D351" i="2"/>
  <c r="D357" i="2"/>
  <c r="D361" i="2"/>
  <c r="D366" i="2"/>
  <c r="D370" i="2"/>
  <c r="D374" i="2"/>
  <c r="D378" i="2"/>
  <c r="D382" i="2"/>
  <c r="D387" i="2"/>
  <c r="D391" i="2"/>
  <c r="D395" i="2"/>
  <c r="D399" i="2"/>
  <c r="D39" i="2"/>
  <c r="D56" i="2"/>
  <c r="D67" i="2"/>
  <c r="D76" i="2"/>
  <c r="D114" i="2"/>
  <c r="D118" i="2"/>
  <c r="D122" i="2"/>
  <c r="D126" i="2"/>
  <c r="D130" i="2"/>
  <c r="D160" i="2"/>
  <c r="D168" i="2"/>
  <c r="D198" i="2"/>
  <c r="D202" i="2"/>
  <c r="D206" i="2"/>
  <c r="D210" i="2"/>
  <c r="D214" i="2"/>
  <c r="D223" i="2"/>
  <c r="D290" i="2"/>
  <c r="D293" i="2"/>
  <c r="D296" i="2"/>
  <c r="D307" i="2"/>
  <c r="D310" i="2"/>
  <c r="D313" i="2"/>
  <c r="D324" i="2"/>
  <c r="D327" i="2"/>
  <c r="D335" i="2"/>
  <c r="D343" i="2"/>
  <c r="D344" i="2"/>
  <c r="D352" i="2"/>
  <c r="D358" i="2"/>
  <c r="D362" i="2"/>
  <c r="D367" i="2"/>
  <c r="D371" i="2"/>
  <c r="D375" i="2"/>
  <c r="D379" i="2"/>
  <c r="D383" i="2"/>
  <c r="D388" i="2"/>
  <c r="D392" i="2"/>
  <c r="D396" i="2"/>
  <c r="D400" i="2"/>
  <c r="D405" i="2"/>
  <c r="D410" i="2"/>
  <c r="D414" i="2"/>
  <c r="D418" i="2"/>
  <c r="D422" i="2"/>
  <c r="D426" i="2"/>
  <c r="D406" i="2"/>
  <c r="D407" i="2"/>
  <c r="D411" i="2"/>
  <c r="D415" i="2"/>
  <c r="D419" i="2"/>
  <c r="D423" i="2"/>
  <c r="D427" i="2"/>
  <c r="D393" i="2"/>
  <c r="D397" i="2"/>
  <c r="D403" i="2"/>
  <c r="D408" i="2"/>
  <c r="D412" i="2"/>
  <c r="D416" i="2"/>
  <c r="D420" i="2"/>
  <c r="D424" i="2"/>
  <c r="D401" i="2"/>
  <c r="D404" i="2"/>
  <c r="D409" i="2"/>
  <c r="D413" i="2"/>
  <c r="D417" i="2"/>
  <c r="D421" i="2"/>
  <c r="D425" i="2"/>
  <c r="E429" i="2"/>
  <c r="AB26" i="4"/>
  <c r="AA21" i="4"/>
  <c r="AA10" i="4"/>
  <c r="AA18" i="4"/>
  <c r="AB22" i="4"/>
  <c r="Y29" i="4"/>
  <c r="Y31" i="4" s="1"/>
  <c r="AB17" i="4"/>
  <c r="AB13" i="4"/>
  <c r="E38" i="4" l="1"/>
  <c r="G31" i="4"/>
  <c r="F38" i="4"/>
  <c r="L31" i="4"/>
  <c r="R31" i="4"/>
  <c r="I31" i="4"/>
  <c r="K31" i="4"/>
  <c r="W31" i="4"/>
  <c r="N31" i="4"/>
  <c r="U31" i="4"/>
  <c r="X31" i="4"/>
  <c r="S31" i="4"/>
  <c r="Z31" i="4"/>
  <c r="J31" i="4"/>
  <c r="Q31" i="4"/>
  <c r="H31" i="4"/>
  <c r="O31" i="4"/>
  <c r="V31" i="4"/>
  <c r="M31" i="4"/>
  <c r="P31" i="4"/>
  <c r="G1737" i="1"/>
  <c r="H1737" i="1" s="1"/>
  <c r="G1730" i="1"/>
  <c r="G1731" i="1"/>
  <c r="G1732" i="1"/>
  <c r="G1733" i="1"/>
  <c r="T38" i="4"/>
  <c r="D31" i="4"/>
  <c r="C31" i="4"/>
  <c r="C32" i="4" s="1"/>
  <c r="C30" i="4"/>
  <c r="C40" i="4" s="1"/>
  <c r="Y38" i="4"/>
  <c r="D32" i="4" l="1"/>
  <c r="D30" i="4"/>
  <c r="E30" i="4" s="1"/>
  <c r="F30" i="4" s="1"/>
  <c r="G30" i="4" s="1"/>
  <c r="H30" i="4" s="1"/>
  <c r="E32" i="4" l="1"/>
  <c r="F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D40" i="4"/>
  <c r="E40" i="4"/>
  <c r="F40" i="4" l="1"/>
  <c r="G40" i="4" l="1"/>
  <c r="H40" i="4" l="1"/>
  <c r="I30" i="4"/>
  <c r="I40" i="4" l="1"/>
  <c r="J30" i="4"/>
  <c r="J40" i="4" l="1"/>
  <c r="K30" i="4"/>
  <c r="K40" i="4" l="1"/>
  <c r="L30" i="4"/>
  <c r="L40" i="4" l="1"/>
  <c r="M30" i="4"/>
  <c r="M40" i="4" l="1"/>
  <c r="N30" i="4"/>
  <c r="N40" i="4" l="1"/>
  <c r="O30" i="4"/>
  <c r="O40" i="4" l="1"/>
  <c r="P30" i="4"/>
  <c r="P40" i="4" l="1"/>
  <c r="Q30" i="4"/>
  <c r="Q40" i="4" l="1"/>
  <c r="R30" i="4"/>
  <c r="R40" i="4" l="1"/>
  <c r="S30" i="4"/>
  <c r="S40" i="4" l="1"/>
  <c r="T30" i="4"/>
  <c r="T40" i="4" l="1"/>
  <c r="U30" i="4"/>
  <c r="U40" i="4" l="1"/>
  <c r="V30" i="4"/>
  <c r="V40" i="4" l="1"/>
  <c r="W30" i="4"/>
  <c r="W40" i="4" l="1"/>
  <c r="X30" i="4"/>
  <c r="X40" i="4" l="1"/>
  <c r="Y30" i="4"/>
  <c r="Y40" i="4" s="1"/>
</calcChain>
</file>

<file path=xl/sharedStrings.xml><?xml version="1.0" encoding="utf-8"?>
<sst xmlns="http://schemas.openxmlformats.org/spreadsheetml/2006/main" count="1728" uniqueCount="1201">
  <si>
    <t>BDI</t>
  </si>
  <si>
    <t>FATOR</t>
  </si>
  <si>
    <t>PLANILHA DO ORÇAMENTO</t>
  </si>
  <si>
    <t>ITEM</t>
  </si>
  <si>
    <t>CÓDIGO</t>
  </si>
  <si>
    <t>ESPECIFICAÇÃO DO INSUMO</t>
  </si>
  <si>
    <t>UNIDADE</t>
  </si>
  <si>
    <t xml:space="preserve">QUANTIDADE </t>
  </si>
  <si>
    <t>PREÇO UNITÁRIO</t>
  </si>
  <si>
    <t>PREÇO TOTAL</t>
  </si>
  <si>
    <t>RESERVADO 01</t>
  </si>
  <si>
    <t>01</t>
  </si>
  <si>
    <t>01.01</t>
  </si>
  <si>
    <t>01.02</t>
  </si>
  <si>
    <t>01.03</t>
  </si>
  <si>
    <t>01.04</t>
  </si>
  <si>
    <t>01.05</t>
  </si>
  <si>
    <t>01.06</t>
  </si>
  <si>
    <t>01.07</t>
  </si>
  <si>
    <t>Sub-Grupo 01.07</t>
  </si>
  <si>
    <t>01.08</t>
  </si>
  <si>
    <t>Sub-Grupo 01.08</t>
  </si>
  <si>
    <t>01.09</t>
  </si>
  <si>
    <t>Sub-Grupo 01.09</t>
  </si>
  <si>
    <t>01.10</t>
  </si>
  <si>
    <t>Sub-Grupo 01.10</t>
  </si>
  <si>
    <t>01.11</t>
  </si>
  <si>
    <t>Sub-Grupo 01.11</t>
  </si>
  <si>
    <t>01.12</t>
  </si>
  <si>
    <t>Sub-Grupo 01.12</t>
  </si>
  <si>
    <t>01.13</t>
  </si>
  <si>
    <t>Sub-Grupo 01.13</t>
  </si>
  <si>
    <t>01.14</t>
  </si>
  <si>
    <t>Sub-Grupo 01.14</t>
  </si>
  <si>
    <t>01.15</t>
  </si>
  <si>
    <t>Sub-Grupo 01.15</t>
  </si>
  <si>
    <t>01.16</t>
  </si>
  <si>
    <t>Sub-Grupo 01.16</t>
  </si>
  <si>
    <t>01.17</t>
  </si>
  <si>
    <t>Sub-Grupo 01.17</t>
  </si>
  <si>
    <t>01.18</t>
  </si>
  <si>
    <t>Sub-Grupo 01.18</t>
  </si>
  <si>
    <t>01.19</t>
  </si>
  <si>
    <t>Sub-Grupo 01.19</t>
  </si>
  <si>
    <t>01.20</t>
  </si>
  <si>
    <t>Sub-Grupo 01.20</t>
  </si>
  <si>
    <t>RESERVADO 02</t>
  </si>
  <si>
    <t>02</t>
  </si>
  <si>
    <t>02.01</t>
  </si>
  <si>
    <t>02.02</t>
  </si>
  <si>
    <t>02.03</t>
  </si>
  <si>
    <t>02.04</t>
  </si>
  <si>
    <t>02.05</t>
  </si>
  <si>
    <t>02.06</t>
  </si>
  <si>
    <t>02.07</t>
  </si>
  <si>
    <t>Sub-Grupo 02.07</t>
  </si>
  <si>
    <t>02.08</t>
  </si>
  <si>
    <t>Sub-Grupo 02.08</t>
  </si>
  <si>
    <t>02.09</t>
  </si>
  <si>
    <t>Sub-Grupo 02.09</t>
  </si>
  <si>
    <t>02.10</t>
  </si>
  <si>
    <t>Sub-Grupo 02.10</t>
  </si>
  <si>
    <t>02.11</t>
  </si>
  <si>
    <t>Sub-Grupo 02.11</t>
  </si>
  <si>
    <t>02.12</t>
  </si>
  <si>
    <t>Sub-Grupo 02.12</t>
  </si>
  <si>
    <t>02.13</t>
  </si>
  <si>
    <t>Sub-Grupo 02.13</t>
  </si>
  <si>
    <t>02.14</t>
  </si>
  <si>
    <t>Sub-Grupo 02.14</t>
  </si>
  <si>
    <t>02.15</t>
  </si>
  <si>
    <t>Sub-Grupo 02.15</t>
  </si>
  <si>
    <t>02.16</t>
  </si>
  <si>
    <t>Sub-Grupo 02.16</t>
  </si>
  <si>
    <t>02.17</t>
  </si>
  <si>
    <t>Sub-Grupo 02.17</t>
  </si>
  <si>
    <t>02.18</t>
  </si>
  <si>
    <t>Sub-Grupo 02.18</t>
  </si>
  <si>
    <t>02.19</t>
  </si>
  <si>
    <t>Sub-Grupo 02.19</t>
  </si>
  <si>
    <t>02.20</t>
  </si>
  <si>
    <t>Sub-Grupo 02.20</t>
  </si>
  <si>
    <t>RESERVADO 03</t>
  </si>
  <si>
    <t>03</t>
  </si>
  <si>
    <t>03.01</t>
  </si>
  <si>
    <t>03.02</t>
  </si>
  <si>
    <t>03.03</t>
  </si>
  <si>
    <t>03.04</t>
  </si>
  <si>
    <t>03.05</t>
  </si>
  <si>
    <t>03.06</t>
  </si>
  <si>
    <t>03.07</t>
  </si>
  <si>
    <t>Sub-Grupo 03.07</t>
  </si>
  <si>
    <t>03.08</t>
  </si>
  <si>
    <t>Sub-Grupo 03.08</t>
  </si>
  <si>
    <t>03.09</t>
  </si>
  <si>
    <t>Sub-Grupo 03.09</t>
  </si>
  <si>
    <t>03.10</t>
  </si>
  <si>
    <t>Sub-Grupo 03.10</t>
  </si>
  <si>
    <t>03.11</t>
  </si>
  <si>
    <t>Sub-Grupo 03.11</t>
  </si>
  <si>
    <t>03.12</t>
  </si>
  <si>
    <t>Sub-Grupo 03.12</t>
  </si>
  <si>
    <t>03.13</t>
  </si>
  <si>
    <t>Sub-Grupo 03.13</t>
  </si>
  <si>
    <t>03.14</t>
  </si>
  <si>
    <t>Sub-Grupo 03.14</t>
  </si>
  <si>
    <t>03.15</t>
  </si>
  <si>
    <t>Sub-Grupo 03.15</t>
  </si>
  <si>
    <t>03.16</t>
  </si>
  <si>
    <t>Sub-Grupo 03.16</t>
  </si>
  <si>
    <t>03.17</t>
  </si>
  <si>
    <t>Sub-Grupo 03.17</t>
  </si>
  <si>
    <t>03.18</t>
  </si>
  <si>
    <t>Sub-Grupo 03.18</t>
  </si>
  <si>
    <t>03.19</t>
  </si>
  <si>
    <t>Sub-Grupo 03.19</t>
  </si>
  <si>
    <t>03.20</t>
  </si>
  <si>
    <t>Sub-Grupo 03.20</t>
  </si>
  <si>
    <t>RESERVADO 04</t>
  </si>
  <si>
    <t>04</t>
  </si>
  <si>
    <t>04.01</t>
  </si>
  <si>
    <t>04.02</t>
  </si>
  <si>
    <t>Sub-Grupo 04.02</t>
  </si>
  <si>
    <t>04.03</t>
  </si>
  <si>
    <t>Sub-Grupo 04.03</t>
  </si>
  <si>
    <t>04.04</t>
  </si>
  <si>
    <t>Sub-Grupo 04.04</t>
  </si>
  <si>
    <t>04.05</t>
  </si>
  <si>
    <t>Sub-Grupo 04.05</t>
  </si>
  <si>
    <t>04.06</t>
  </si>
  <si>
    <t>Sub-Grupo 04.06</t>
  </si>
  <si>
    <t>04.07</t>
  </si>
  <si>
    <t>Sub-Grupo 04.07</t>
  </si>
  <si>
    <t>04.08</t>
  </si>
  <si>
    <t>Sub-Grupo 04.08</t>
  </si>
  <si>
    <t>04.09</t>
  </si>
  <si>
    <t>Sub-Grupo 04.09</t>
  </si>
  <si>
    <t>04.10</t>
  </si>
  <si>
    <t>Sub-Grupo 04.10</t>
  </si>
  <si>
    <t>04.11</t>
  </si>
  <si>
    <t>Sub-Grupo 04.11</t>
  </si>
  <si>
    <t>04.12</t>
  </si>
  <si>
    <t>Sub-Grupo 04.12</t>
  </si>
  <si>
    <t>04.13</t>
  </si>
  <si>
    <t>Sub-Grupo 04.13</t>
  </si>
  <si>
    <t>04.14</t>
  </si>
  <si>
    <t>Sub-Grupo 04.14</t>
  </si>
  <si>
    <t>04.15</t>
  </si>
  <si>
    <t>Sub-Grupo 04.15</t>
  </si>
  <si>
    <t>04.16</t>
  </si>
  <si>
    <t>Sub-Grupo 04.16</t>
  </si>
  <si>
    <t>04.17</t>
  </si>
  <si>
    <t>Sub-Grupo 04.17</t>
  </si>
  <si>
    <t>04.18</t>
  </si>
  <si>
    <t>Sub-Grupo 04.18</t>
  </si>
  <si>
    <t>04.19</t>
  </si>
  <si>
    <t>Sub-Grupo 04.19</t>
  </si>
  <si>
    <t>04.20</t>
  </si>
  <si>
    <t>Sub-Grupo 04.20</t>
  </si>
  <si>
    <t>RESERVADO 05</t>
  </si>
  <si>
    <t>05</t>
  </si>
  <si>
    <t>05.01</t>
  </si>
  <si>
    <t>05.02</t>
  </si>
  <si>
    <t>Sub-Grupo 05.02</t>
  </si>
  <si>
    <t>05.03</t>
  </si>
  <si>
    <t>Sub-Grupo 05.03</t>
  </si>
  <si>
    <t>05.04</t>
  </si>
  <si>
    <t>Sub-Grupo 05.04</t>
  </si>
  <si>
    <t>05.05</t>
  </si>
  <si>
    <t>Sub-Grupo 05.05</t>
  </si>
  <si>
    <t>05.06</t>
  </si>
  <si>
    <t>Sub-Grupo 05.06</t>
  </si>
  <si>
    <t>05.07</t>
  </si>
  <si>
    <t>Sub-Grupo 05.07</t>
  </si>
  <si>
    <t>05.08</t>
  </si>
  <si>
    <t>Sub-Grupo 05.08</t>
  </si>
  <si>
    <t>05.09</t>
  </si>
  <si>
    <t>Sub-Grupo 05.09</t>
  </si>
  <si>
    <t>05.10</t>
  </si>
  <si>
    <t>Sub-Grupo 05.10</t>
  </si>
  <si>
    <t>05.11</t>
  </si>
  <si>
    <t>Sub-Grupo 05.11</t>
  </si>
  <si>
    <t>05.12</t>
  </si>
  <si>
    <t>Sub-Grupo 05.12</t>
  </si>
  <si>
    <t>05.13</t>
  </si>
  <si>
    <t>Sub-Grupo 05.13</t>
  </si>
  <si>
    <t>05.14</t>
  </si>
  <si>
    <t>Sub-Grupo 05.14</t>
  </si>
  <si>
    <t>05.15</t>
  </si>
  <si>
    <t>Sub-Grupo 05.15</t>
  </si>
  <si>
    <t>05.16</t>
  </si>
  <si>
    <t>Sub-Grupo 05.16</t>
  </si>
  <si>
    <t>05.17</t>
  </si>
  <si>
    <t>Sub-Grupo 05.17</t>
  </si>
  <si>
    <t>05.18</t>
  </si>
  <si>
    <t>Sub-Grupo 05.18</t>
  </si>
  <si>
    <t>05.19</t>
  </si>
  <si>
    <t>Sub-Grupo 05.19</t>
  </si>
  <si>
    <t>05.20</t>
  </si>
  <si>
    <t>Sub-Grupo 05.20</t>
  </si>
  <si>
    <t>RESERVADO 06</t>
  </si>
  <si>
    <t>06</t>
  </si>
  <si>
    <t>GRUPO 06</t>
  </si>
  <si>
    <t>06.01</t>
  </si>
  <si>
    <t>Sub-Grupo 06.01</t>
  </si>
  <si>
    <t>06.02</t>
  </si>
  <si>
    <t>Sub-Grupo 06.02</t>
  </si>
  <si>
    <t>06.03</t>
  </si>
  <si>
    <t>Sub-Grupo 06.03</t>
  </si>
  <si>
    <t>06.04</t>
  </si>
  <si>
    <t>Sub-Grupo 06.04</t>
  </si>
  <si>
    <t>06.05</t>
  </si>
  <si>
    <t>Sub-Grupo 06.05</t>
  </si>
  <si>
    <t>06.06</t>
  </si>
  <si>
    <t>Sub-Grupo 06.06</t>
  </si>
  <si>
    <t>06.07</t>
  </si>
  <si>
    <t>Sub-Grupo 06.07</t>
  </si>
  <si>
    <t>06.08</t>
  </si>
  <si>
    <t>Sub-Grupo 06.08</t>
  </si>
  <si>
    <t>06.09</t>
  </si>
  <si>
    <t>Sub-Grupo 06.09</t>
  </si>
  <si>
    <t>06.10</t>
  </si>
  <si>
    <t>Sub-Grupo 06.10</t>
  </si>
  <si>
    <t>06.11</t>
  </si>
  <si>
    <t>Sub-Grupo 06.11</t>
  </si>
  <si>
    <t>06.12</t>
  </si>
  <si>
    <t>Sub-Grupo 06.12</t>
  </si>
  <si>
    <t>06.13</t>
  </si>
  <si>
    <t>Sub-Grupo 06.13</t>
  </si>
  <si>
    <t>06.14</t>
  </si>
  <si>
    <t>Sub-Grupo 06.14</t>
  </si>
  <si>
    <t>06.15</t>
  </si>
  <si>
    <t>Sub-Grupo 06.15</t>
  </si>
  <si>
    <t>06.16</t>
  </si>
  <si>
    <t>Sub-Grupo 06.16</t>
  </si>
  <si>
    <t>06.17</t>
  </si>
  <si>
    <t>Sub-Grupo 06.17</t>
  </si>
  <si>
    <t>06.18</t>
  </si>
  <si>
    <t>Sub-Grupo 06.18</t>
  </si>
  <si>
    <t>06.19</t>
  </si>
  <si>
    <t>Sub-Grupo 06.19</t>
  </si>
  <si>
    <t>06.20</t>
  </si>
  <si>
    <t>Sub-Grupo 06.20</t>
  </si>
  <si>
    <t>RESERVADO 07</t>
  </si>
  <si>
    <t>07</t>
  </si>
  <si>
    <t>GRUPO 07</t>
  </si>
  <si>
    <t>07.01</t>
  </si>
  <si>
    <t>Sub-Grupo 07.01</t>
  </si>
  <si>
    <t>07.02</t>
  </si>
  <si>
    <t>Sub-Grupo 07.02</t>
  </si>
  <si>
    <t>07.03</t>
  </si>
  <si>
    <t>Sub-Grupo 07.03</t>
  </si>
  <si>
    <t>07.04</t>
  </si>
  <si>
    <t>Sub-Grupo 07.04</t>
  </si>
  <si>
    <t>07.05</t>
  </si>
  <si>
    <t>Sub-Grupo 07.05</t>
  </si>
  <si>
    <t>07.06</t>
  </si>
  <si>
    <t>Sub-Grupo 07.06</t>
  </si>
  <si>
    <t>07.07</t>
  </si>
  <si>
    <t>Sub-Grupo 07.07</t>
  </si>
  <si>
    <t>07.08</t>
  </si>
  <si>
    <t>Sub-Grupo 07.08</t>
  </si>
  <si>
    <t>07.09</t>
  </si>
  <si>
    <t>Sub-Grupo 07.09</t>
  </si>
  <si>
    <t>07.10</t>
  </si>
  <si>
    <t>Sub-Grupo 07.10</t>
  </si>
  <si>
    <t>07.11</t>
  </si>
  <si>
    <t>Sub-Grupo 07.11</t>
  </si>
  <si>
    <t>07.12</t>
  </si>
  <si>
    <t>Sub-Grupo 07.12</t>
  </si>
  <si>
    <t>07.13</t>
  </si>
  <si>
    <t>Sub-Grupo 07.13</t>
  </si>
  <si>
    <t>07.14</t>
  </si>
  <si>
    <t>Sub-Grupo 07.14</t>
  </si>
  <si>
    <t>07.15</t>
  </si>
  <si>
    <t>Sub-Grupo 07.15</t>
  </si>
  <si>
    <t>07.16</t>
  </si>
  <si>
    <t>Sub-Grupo 07.16</t>
  </si>
  <si>
    <t>07.17</t>
  </si>
  <si>
    <t>Sub-Grupo 07.17</t>
  </si>
  <si>
    <t>07.18</t>
  </si>
  <si>
    <t>Sub-Grupo 07.18</t>
  </si>
  <si>
    <t>07.19</t>
  </si>
  <si>
    <t>Sub-Grupo 07.19</t>
  </si>
  <si>
    <t>07.20</t>
  </si>
  <si>
    <t>Sub-Grupo 07.20</t>
  </si>
  <si>
    <t>RESERVADO 08</t>
  </si>
  <si>
    <t>08</t>
  </si>
  <si>
    <t>GRUPO 08</t>
  </si>
  <si>
    <t>08.01</t>
  </si>
  <si>
    <t>Sub-Grupo 08.01</t>
  </si>
  <si>
    <t>08.02</t>
  </si>
  <si>
    <t>Sub-Grupo 08.02</t>
  </si>
  <si>
    <t>08.03</t>
  </si>
  <si>
    <t>Sub-Grupo 08.03</t>
  </si>
  <si>
    <t>08.04</t>
  </si>
  <si>
    <t>Sub-Grupo 08.04</t>
  </si>
  <si>
    <t>08.05</t>
  </si>
  <si>
    <t>Sub-Grupo 08.05</t>
  </si>
  <si>
    <t>08.06</t>
  </si>
  <si>
    <t>Sub-Grupo 08.06</t>
  </si>
  <si>
    <t>08.07</t>
  </si>
  <si>
    <t>Sub-Grupo 08.07</t>
  </si>
  <si>
    <t>08.08</t>
  </si>
  <si>
    <t>Sub-Grupo 08.08</t>
  </si>
  <si>
    <t>08.09</t>
  </si>
  <si>
    <t>Sub-Grupo 08.09</t>
  </si>
  <si>
    <t>08.10</t>
  </si>
  <si>
    <t>Sub-Grupo 08.10</t>
  </si>
  <si>
    <t>08.11</t>
  </si>
  <si>
    <t>Sub-Grupo 08.11</t>
  </si>
  <si>
    <t>08.12</t>
  </si>
  <si>
    <t>Sub-Grupo 08.12</t>
  </si>
  <si>
    <t>08.13</t>
  </si>
  <si>
    <t>Sub-Grupo 08.13</t>
  </si>
  <si>
    <t>08.14</t>
  </si>
  <si>
    <t>Sub-Grupo 08.14</t>
  </si>
  <si>
    <t>08.15</t>
  </si>
  <si>
    <t>Sub-Grupo 08.15</t>
  </si>
  <si>
    <t>08.16</t>
  </si>
  <si>
    <t>Sub-Grupo 08.16</t>
  </si>
  <si>
    <t>08.17</t>
  </si>
  <si>
    <t>Sub-Grupo 08.17</t>
  </si>
  <si>
    <t>08.18</t>
  </si>
  <si>
    <t>Sub-Grupo 08.18</t>
  </si>
  <si>
    <t>08.19</t>
  </si>
  <si>
    <t>Sub-Grupo 08.19</t>
  </si>
  <si>
    <t>08.20</t>
  </si>
  <si>
    <t>Sub-Grupo 08.20</t>
  </si>
  <si>
    <t>RESERVADO 09</t>
  </si>
  <si>
    <t>09</t>
  </si>
  <si>
    <t>GRUPO 09</t>
  </si>
  <si>
    <t>09.01</t>
  </si>
  <si>
    <t>Sub-Grupo 09.01</t>
  </si>
  <si>
    <t>09.02</t>
  </si>
  <si>
    <t>Sub-Grupo 09.02</t>
  </si>
  <si>
    <t>09.03</t>
  </si>
  <si>
    <t>Sub-Grupo 09.03</t>
  </si>
  <si>
    <t>09.04</t>
  </si>
  <si>
    <t>Sub-Grupo 09.04</t>
  </si>
  <si>
    <t>09.05</t>
  </si>
  <si>
    <t>Sub-Grupo 09.05</t>
  </si>
  <si>
    <t>09.06</t>
  </si>
  <si>
    <t>Sub-Grupo 09.06</t>
  </si>
  <si>
    <t>09.07</t>
  </si>
  <si>
    <t>Sub-Grupo 09.07</t>
  </si>
  <si>
    <t>09.08</t>
  </si>
  <si>
    <t>Sub-Grupo 09.08</t>
  </si>
  <si>
    <t>09.09</t>
  </si>
  <si>
    <t>Sub-Grupo 09.09</t>
  </si>
  <si>
    <t>09.10</t>
  </si>
  <si>
    <t>Sub-Grupo 09.10</t>
  </si>
  <si>
    <t>09.11</t>
  </si>
  <si>
    <t>Sub-Grupo 09.11</t>
  </si>
  <si>
    <t>09.12</t>
  </si>
  <si>
    <t>Sub-Grupo 09.12</t>
  </si>
  <si>
    <t>09.13</t>
  </si>
  <si>
    <t>Sub-Grupo 09.13</t>
  </si>
  <si>
    <t>09.14</t>
  </si>
  <si>
    <t>Sub-Grupo 09.14</t>
  </si>
  <si>
    <t>09.15</t>
  </si>
  <si>
    <t>Sub-Grupo 09.15</t>
  </si>
  <si>
    <t>09.16</t>
  </si>
  <si>
    <t>Sub-Grupo 09.16</t>
  </si>
  <si>
    <t>09.17</t>
  </si>
  <si>
    <t>Sub-Grupo 09.17</t>
  </si>
  <si>
    <t>09.18</t>
  </si>
  <si>
    <t>Sub-Grupo 09.18</t>
  </si>
  <si>
    <t>09.19</t>
  </si>
  <si>
    <t>Sub-Grupo 09.19</t>
  </si>
  <si>
    <t>09.20</t>
  </si>
  <si>
    <t>Sub-Grupo 09.20</t>
  </si>
  <si>
    <t>RESERVADO 10</t>
  </si>
  <si>
    <t>10</t>
  </si>
  <si>
    <t>GRUPO 10</t>
  </si>
  <si>
    <t>10.01</t>
  </si>
  <si>
    <t>Sub-Grupo 10.01</t>
  </si>
  <si>
    <t>10.02</t>
  </si>
  <si>
    <t>Sub-Grupo 10.02</t>
  </si>
  <si>
    <t>10.03</t>
  </si>
  <si>
    <t>Sub-Grupo 10.03</t>
  </si>
  <si>
    <t>10.04</t>
  </si>
  <si>
    <t>Sub-Grupo 10.04</t>
  </si>
  <si>
    <t>10.05</t>
  </si>
  <si>
    <t>Sub-Grupo 10.05</t>
  </si>
  <si>
    <t>10.06</t>
  </si>
  <si>
    <t>Sub-Grupo 10.06</t>
  </si>
  <si>
    <t>10.07</t>
  </si>
  <si>
    <t>Sub-Grupo 10.07</t>
  </si>
  <si>
    <t>10.08</t>
  </si>
  <si>
    <t>Sub-Grupo 10.08</t>
  </si>
  <si>
    <t>10.09</t>
  </si>
  <si>
    <t>Sub-Grupo 10.09</t>
  </si>
  <si>
    <t>10.10</t>
  </si>
  <si>
    <t>Sub-Grupo 10.10</t>
  </si>
  <si>
    <t>10.11</t>
  </si>
  <si>
    <t>Sub-Grupo 10.11</t>
  </si>
  <si>
    <t>10.12</t>
  </si>
  <si>
    <t>Sub-Grupo 10.12</t>
  </si>
  <si>
    <t>10.13</t>
  </si>
  <si>
    <t>Sub-Grupo 10.13</t>
  </si>
  <si>
    <t>10.14</t>
  </si>
  <si>
    <t>Sub-Grupo 10.14</t>
  </si>
  <si>
    <t>10.15</t>
  </si>
  <si>
    <t>Sub-Grupo 10.15</t>
  </si>
  <si>
    <t>10.16</t>
  </si>
  <si>
    <t>Sub-Grupo 10.16</t>
  </si>
  <si>
    <t>10.17</t>
  </si>
  <si>
    <t>Sub-Grupo 10.17</t>
  </si>
  <si>
    <t>10.18</t>
  </si>
  <si>
    <t>Sub-Grupo 10.18</t>
  </si>
  <si>
    <t>10.19</t>
  </si>
  <si>
    <t>Sub-Grupo 10.19</t>
  </si>
  <si>
    <t>10.20</t>
  </si>
  <si>
    <t>Sub-Grupo 10.20</t>
  </si>
  <si>
    <t>RESERVADO 11</t>
  </si>
  <si>
    <t>11</t>
  </si>
  <si>
    <t>GRUPO 11</t>
  </si>
  <si>
    <t>11.01</t>
  </si>
  <si>
    <t>Sub-Grupo 11.01</t>
  </si>
  <si>
    <t>11.02</t>
  </si>
  <si>
    <t>Sub-Grupo 11.02</t>
  </si>
  <si>
    <t>11.03</t>
  </si>
  <si>
    <t>Sub-Grupo 11.03</t>
  </si>
  <si>
    <t>11.04</t>
  </si>
  <si>
    <t>Sub-Grupo 11.04</t>
  </si>
  <si>
    <t>11.05</t>
  </si>
  <si>
    <t>Sub-Grupo 11.05</t>
  </si>
  <si>
    <t>11.06</t>
  </si>
  <si>
    <t>Sub-Grupo 11.06</t>
  </si>
  <si>
    <t>11.07</t>
  </si>
  <si>
    <t>Sub-Grupo 11.07</t>
  </si>
  <si>
    <t>11.08</t>
  </si>
  <si>
    <t>Sub-Grupo 11.08</t>
  </si>
  <si>
    <t>11.09</t>
  </si>
  <si>
    <t>Sub-Grupo 11.09</t>
  </si>
  <si>
    <t>11.10</t>
  </si>
  <si>
    <t>Sub-Grupo 11.10</t>
  </si>
  <si>
    <t>11.11</t>
  </si>
  <si>
    <t>Sub-Grupo 11.11</t>
  </si>
  <si>
    <t>11.12</t>
  </si>
  <si>
    <t>Sub-Grupo 11.12</t>
  </si>
  <si>
    <t>11.13</t>
  </si>
  <si>
    <t>Sub-Grupo 11.13</t>
  </si>
  <si>
    <t>11.14</t>
  </si>
  <si>
    <t>Sub-Grupo 11.14</t>
  </si>
  <si>
    <t>11.15</t>
  </si>
  <si>
    <t>Sub-Grupo 11.15</t>
  </si>
  <si>
    <t>11.16</t>
  </si>
  <si>
    <t>Sub-Grupo 11.16</t>
  </si>
  <si>
    <t>11.17</t>
  </si>
  <si>
    <t>Sub-Grupo 11.17</t>
  </si>
  <si>
    <t>11.18</t>
  </si>
  <si>
    <t>Sub-Grupo 11.18</t>
  </si>
  <si>
    <t>11.19</t>
  </si>
  <si>
    <t>Sub-Grupo 11.19</t>
  </si>
  <si>
    <t>11.20</t>
  </si>
  <si>
    <t>Sub-Grupo 11.20</t>
  </si>
  <si>
    <t>RESERVADO 12</t>
  </si>
  <si>
    <t>12</t>
  </si>
  <si>
    <t>GRUPO 12</t>
  </si>
  <si>
    <t>12.01</t>
  </si>
  <si>
    <t>Sub-Grupo 12.01</t>
  </si>
  <si>
    <t>12.02</t>
  </si>
  <si>
    <t>Sub-Grupo 12.02</t>
  </si>
  <si>
    <t>12.03</t>
  </si>
  <si>
    <t>Sub-Grupo 12.03</t>
  </si>
  <si>
    <t>12.04</t>
  </si>
  <si>
    <t>Sub-Grupo 12.04</t>
  </si>
  <si>
    <t>12.05</t>
  </si>
  <si>
    <t>Sub-Grupo 12.05</t>
  </si>
  <si>
    <t>12.06</t>
  </si>
  <si>
    <t>Sub-Grupo 12.06</t>
  </si>
  <si>
    <t>12.07</t>
  </si>
  <si>
    <t>Sub-Grupo 12.07</t>
  </si>
  <si>
    <t>12.08</t>
  </si>
  <si>
    <t>Sub-Grupo 12.08</t>
  </si>
  <si>
    <t>12.09</t>
  </si>
  <si>
    <t>Sub-Grupo 12.09</t>
  </si>
  <si>
    <t>12.10</t>
  </si>
  <si>
    <t>Sub-Grupo 12.10</t>
  </si>
  <si>
    <t>12.11</t>
  </si>
  <si>
    <t>Sub-Grupo 12.11</t>
  </si>
  <si>
    <t>12.12</t>
  </si>
  <si>
    <t>Sub-Grupo 12.12</t>
  </si>
  <si>
    <t>12.13</t>
  </si>
  <si>
    <t>Sub-Grupo 12.13</t>
  </si>
  <si>
    <t>12.14</t>
  </si>
  <si>
    <t>Sub-Grupo 12.14</t>
  </si>
  <si>
    <t>12.15</t>
  </si>
  <si>
    <t>Sub-Grupo 12.15</t>
  </si>
  <si>
    <t>12.16</t>
  </si>
  <si>
    <t>Sub-Grupo 12.16</t>
  </si>
  <si>
    <t>12.17</t>
  </si>
  <si>
    <t>Sub-Grupo 12.17</t>
  </si>
  <si>
    <t>12.18</t>
  </si>
  <si>
    <t>Sub-Grupo 12.18</t>
  </si>
  <si>
    <t>12.19</t>
  </si>
  <si>
    <t>Sub-Grupo 12.19</t>
  </si>
  <si>
    <t>12.20</t>
  </si>
  <si>
    <t>Sub-Grupo 12.20</t>
  </si>
  <si>
    <t>RESERVADO 13</t>
  </si>
  <si>
    <t>13</t>
  </si>
  <si>
    <t>GRUPO 13</t>
  </si>
  <si>
    <t>13.01</t>
  </si>
  <si>
    <t>Sub-Grupo 13.01</t>
  </si>
  <si>
    <t>13.02</t>
  </si>
  <si>
    <t>Sub-Grupo 13.02</t>
  </si>
  <si>
    <t>13.03</t>
  </si>
  <si>
    <t>Sub-Grupo 13.03</t>
  </si>
  <si>
    <t>13.04</t>
  </si>
  <si>
    <t>Sub-Grupo 13.04</t>
  </si>
  <si>
    <t>13.05</t>
  </si>
  <si>
    <t>Sub-Grupo 13.05</t>
  </si>
  <si>
    <t>13.06</t>
  </si>
  <si>
    <t>Sub-Grupo 13.06</t>
  </si>
  <si>
    <t>13.07</t>
  </si>
  <si>
    <t>Sub-Grupo 13.07</t>
  </si>
  <si>
    <t>13.08</t>
  </si>
  <si>
    <t>Sub-Grupo 13.08</t>
  </si>
  <si>
    <t>13.09</t>
  </si>
  <si>
    <t>Sub-Grupo 13.09</t>
  </si>
  <si>
    <t>13.10</t>
  </si>
  <si>
    <t>Sub-Grupo 13.10</t>
  </si>
  <si>
    <t>13.11</t>
  </si>
  <si>
    <t>Sub-Grupo 13.11</t>
  </si>
  <si>
    <t>13.12</t>
  </si>
  <si>
    <t>Sub-Grupo 13.12</t>
  </si>
  <si>
    <t>13.13</t>
  </si>
  <si>
    <t>Sub-Grupo 13.13</t>
  </si>
  <si>
    <t>13.14</t>
  </si>
  <si>
    <t>Sub-Grupo 13.14</t>
  </si>
  <si>
    <t>13.15</t>
  </si>
  <si>
    <t>Sub-Grupo 13.15</t>
  </si>
  <si>
    <t>13.16</t>
  </si>
  <si>
    <t>Sub-Grupo 13.16</t>
  </si>
  <si>
    <t>13.17</t>
  </si>
  <si>
    <t>Sub-Grupo 13.17</t>
  </si>
  <si>
    <t>13.18</t>
  </si>
  <si>
    <t>Sub-Grupo 13.18</t>
  </si>
  <si>
    <t>13.19</t>
  </si>
  <si>
    <t>Sub-Grupo 13.19</t>
  </si>
  <si>
    <t>13.20</t>
  </si>
  <si>
    <t>Sub-Grupo 13.20</t>
  </si>
  <si>
    <t>RESERVADO 14</t>
  </si>
  <si>
    <t>14</t>
  </si>
  <si>
    <t>GRUPO 14</t>
  </si>
  <si>
    <t>14.01</t>
  </si>
  <si>
    <t>Sub-Grupo 14.01</t>
  </si>
  <si>
    <t>14.02</t>
  </si>
  <si>
    <t>Sub-Grupo 14.02</t>
  </si>
  <si>
    <t>14.03</t>
  </si>
  <si>
    <t>Sub-Grupo 14.03</t>
  </si>
  <si>
    <t>14.04</t>
  </si>
  <si>
    <t>Sub-Grupo 14.04</t>
  </si>
  <si>
    <t>14.05</t>
  </si>
  <si>
    <t>Sub-Grupo 14.05</t>
  </si>
  <si>
    <t>14.06</t>
  </si>
  <si>
    <t>Sub-Grupo 14.06</t>
  </si>
  <si>
    <t>14.07</t>
  </si>
  <si>
    <t>Sub-Grupo 14.07</t>
  </si>
  <si>
    <t>14.08</t>
  </si>
  <si>
    <t>Sub-Grupo 14.08</t>
  </si>
  <si>
    <t>14.09</t>
  </si>
  <si>
    <t>Sub-Grupo 14.09</t>
  </si>
  <si>
    <t>14.10</t>
  </si>
  <si>
    <t>Sub-Grupo 14.10</t>
  </si>
  <si>
    <t>14.11</t>
  </si>
  <si>
    <t>Sub-Grupo 14.11</t>
  </si>
  <si>
    <t>14.12</t>
  </si>
  <si>
    <t>Sub-Grupo 14.12</t>
  </si>
  <si>
    <t>14.13</t>
  </si>
  <si>
    <t>Sub-Grupo 14.13</t>
  </si>
  <si>
    <t>14.14</t>
  </si>
  <si>
    <t>Sub-Grupo 14.14</t>
  </si>
  <si>
    <t>14.15</t>
  </si>
  <si>
    <t>Sub-Grupo 14.15</t>
  </si>
  <si>
    <t>14.16</t>
  </si>
  <si>
    <t>Sub-Grupo 14.16</t>
  </si>
  <si>
    <t>14.17</t>
  </si>
  <si>
    <t>Sub-Grupo 14.17</t>
  </si>
  <si>
    <t>14.18</t>
  </si>
  <si>
    <t>Sub-Grupo 14.18</t>
  </si>
  <si>
    <t>14.19</t>
  </si>
  <si>
    <t>Sub-Grupo 14.19</t>
  </si>
  <si>
    <t>14.20</t>
  </si>
  <si>
    <t>Sub-Grupo 14.20</t>
  </si>
  <si>
    <t>RESERVADO 15</t>
  </si>
  <si>
    <t>15</t>
  </si>
  <si>
    <t>GRUPO 15</t>
  </si>
  <si>
    <t>15.01</t>
  </si>
  <si>
    <t>Sub-Grupo 15.01</t>
  </si>
  <si>
    <t>15.02</t>
  </si>
  <si>
    <t>Sub-Grupo 15.02</t>
  </si>
  <si>
    <t>15.03</t>
  </si>
  <si>
    <t>Sub-Grupo 15.03</t>
  </si>
  <si>
    <t>15.04</t>
  </si>
  <si>
    <t>Sub-Grupo 15.04</t>
  </si>
  <si>
    <t>15.05</t>
  </si>
  <si>
    <t>Sub-Grupo 15.05</t>
  </si>
  <si>
    <t>15.06</t>
  </si>
  <si>
    <t>Sub-Grupo 15.06</t>
  </si>
  <si>
    <t>15.07</t>
  </si>
  <si>
    <t>Sub-Grupo 15.07</t>
  </si>
  <si>
    <t>15.08</t>
  </si>
  <si>
    <t>Sub-Grupo 15.08</t>
  </si>
  <si>
    <t>15.09</t>
  </si>
  <si>
    <t>Sub-Grupo 15.09</t>
  </si>
  <si>
    <t>15.10</t>
  </si>
  <si>
    <t>Sub-Grupo 15.10</t>
  </si>
  <si>
    <t>15.11</t>
  </si>
  <si>
    <t>Sub-Grupo 15.11</t>
  </si>
  <si>
    <t>15.12</t>
  </si>
  <si>
    <t>Sub-Grupo 15.12</t>
  </si>
  <si>
    <t>15.13</t>
  </si>
  <si>
    <t>Sub-Grupo 15.13</t>
  </si>
  <si>
    <t>15.14</t>
  </si>
  <si>
    <t>Sub-Grupo 15.14</t>
  </si>
  <si>
    <t>15.15</t>
  </si>
  <si>
    <t>Sub-Grupo 15.15</t>
  </si>
  <si>
    <t>15.16</t>
  </si>
  <si>
    <t>Sub-Grupo 15.16</t>
  </si>
  <si>
    <t>15.17</t>
  </si>
  <si>
    <t>Sub-Grupo 15.17</t>
  </si>
  <si>
    <t>15.18</t>
  </si>
  <si>
    <t>Sub-Grupo 15.18</t>
  </si>
  <si>
    <t>15.19</t>
  </si>
  <si>
    <t>Sub-Grupo 15.19</t>
  </si>
  <si>
    <t>15.20</t>
  </si>
  <si>
    <t>Sub-Grupo 15.20</t>
  </si>
  <si>
    <t>RESERVADO 16</t>
  </si>
  <si>
    <t>16</t>
  </si>
  <si>
    <t>GRUPO 16</t>
  </si>
  <si>
    <t>16.01</t>
  </si>
  <si>
    <t>Sub-Grupo 16.01</t>
  </si>
  <si>
    <t>16.02</t>
  </si>
  <si>
    <t>Sub-Grupo 16.02</t>
  </si>
  <si>
    <t>16.03</t>
  </si>
  <si>
    <t>Sub-Grupo 16.03</t>
  </si>
  <si>
    <t>16.04</t>
  </si>
  <si>
    <t>Sub-Grupo 16.04</t>
  </si>
  <si>
    <t>16.05</t>
  </si>
  <si>
    <t>Sub-Grupo 16.05</t>
  </si>
  <si>
    <t>16.06</t>
  </si>
  <si>
    <t>Sub-Grupo 16.06</t>
  </si>
  <si>
    <t>16.07</t>
  </si>
  <si>
    <t>Sub-Grupo 16.07</t>
  </si>
  <si>
    <t>16.08</t>
  </si>
  <si>
    <t>Sub-Grupo 16.08</t>
  </si>
  <si>
    <t>16.09</t>
  </si>
  <si>
    <t>Sub-Grupo 16.09</t>
  </si>
  <si>
    <t>16.10</t>
  </si>
  <si>
    <t>Sub-Grupo 16.10</t>
  </si>
  <si>
    <t>16.11</t>
  </si>
  <si>
    <t>Sub-Grupo 16.11</t>
  </si>
  <si>
    <t>16.12</t>
  </si>
  <si>
    <t>Sub-Grupo 16.12</t>
  </si>
  <si>
    <t>16.13</t>
  </si>
  <si>
    <t>Sub-Grupo 16.13</t>
  </si>
  <si>
    <t>16.14</t>
  </si>
  <si>
    <t>Sub-Grupo 16.14</t>
  </si>
  <si>
    <t>16.15</t>
  </si>
  <si>
    <t>Sub-Grupo 16.15</t>
  </si>
  <si>
    <t>16.16</t>
  </si>
  <si>
    <t>Sub-Grupo 16.16</t>
  </si>
  <si>
    <t>16.17</t>
  </si>
  <si>
    <t>Sub-Grupo 16.17</t>
  </si>
  <si>
    <t>16.18</t>
  </si>
  <si>
    <t>Sub-Grupo 16.18</t>
  </si>
  <si>
    <t>16.19</t>
  </si>
  <si>
    <t>Sub-Grupo 16.19</t>
  </si>
  <si>
    <t>16.20</t>
  </si>
  <si>
    <t>Sub-Grupo 16.20</t>
  </si>
  <si>
    <t>RESERVADO 17</t>
  </si>
  <si>
    <t>17</t>
  </si>
  <si>
    <t>GRUPO 17</t>
  </si>
  <si>
    <t>17.01</t>
  </si>
  <si>
    <t>Sub-Grupo 17.01</t>
  </si>
  <si>
    <t>17.02</t>
  </si>
  <si>
    <t>Sub-Grupo 17.02</t>
  </si>
  <si>
    <t>17.03</t>
  </si>
  <si>
    <t>Sub-Grupo 17.03</t>
  </si>
  <si>
    <t>17.04</t>
  </si>
  <si>
    <t>Sub-Grupo 17.04</t>
  </si>
  <si>
    <t>17.05</t>
  </si>
  <si>
    <t>Sub-Grupo 17.05</t>
  </si>
  <si>
    <t>17.06</t>
  </si>
  <si>
    <t>Sub-Grupo 17.06</t>
  </si>
  <si>
    <t>17.07</t>
  </si>
  <si>
    <t>Sub-Grupo 17.07</t>
  </si>
  <si>
    <t>17.08</t>
  </si>
  <si>
    <t>Sub-Grupo 17.08</t>
  </si>
  <si>
    <t>17.09</t>
  </si>
  <si>
    <t>Sub-Grupo 17.09</t>
  </si>
  <si>
    <t>17.10</t>
  </si>
  <si>
    <t>Sub-Grupo 17.10</t>
  </si>
  <si>
    <t>17.11</t>
  </si>
  <si>
    <t>Sub-Grupo 17.11</t>
  </si>
  <si>
    <t>17.12</t>
  </si>
  <si>
    <t>Sub-Grupo 17.12</t>
  </si>
  <si>
    <t>17.13</t>
  </si>
  <si>
    <t>Sub-Grupo 17.13</t>
  </si>
  <si>
    <t>17.14</t>
  </si>
  <si>
    <t>Sub-Grupo 17.14</t>
  </si>
  <si>
    <t>17.15</t>
  </si>
  <si>
    <t>Sub-Grupo 17.15</t>
  </si>
  <si>
    <t>17.16</t>
  </si>
  <si>
    <t>Sub-Grupo 17.16</t>
  </si>
  <si>
    <t>17.17</t>
  </si>
  <si>
    <t>Sub-Grupo 17.17</t>
  </si>
  <si>
    <t>17.18</t>
  </si>
  <si>
    <t>Sub-Grupo 17.18</t>
  </si>
  <si>
    <t>17.19</t>
  </si>
  <si>
    <t>Sub-Grupo 17.19</t>
  </si>
  <si>
    <t>17.20</t>
  </si>
  <si>
    <t>Sub-Grupo 17.20</t>
  </si>
  <si>
    <t>RESERVADO 18</t>
  </si>
  <si>
    <t>18</t>
  </si>
  <si>
    <t>GRUPO 18</t>
  </si>
  <si>
    <t>18.01</t>
  </si>
  <si>
    <t>Sub-Grupo 18.01</t>
  </si>
  <si>
    <t>18.02</t>
  </si>
  <si>
    <t>Sub-Grupo 18.02</t>
  </si>
  <si>
    <t>18.03</t>
  </si>
  <si>
    <t>Sub-Grupo 18.03</t>
  </si>
  <si>
    <t>18.04</t>
  </si>
  <si>
    <t>Sub-Grupo 18.04</t>
  </si>
  <si>
    <t>18.05</t>
  </si>
  <si>
    <t>Sub-Grupo 18.05</t>
  </si>
  <si>
    <t>18.06</t>
  </si>
  <si>
    <t>Sub-Grupo 18.06</t>
  </si>
  <si>
    <t>18.07</t>
  </si>
  <si>
    <t>Sub-Grupo 18.07</t>
  </si>
  <si>
    <t>18.08</t>
  </si>
  <si>
    <t>Sub-Grupo 18.08</t>
  </si>
  <si>
    <t>18.09</t>
  </si>
  <si>
    <t>Sub-Grupo 18.09</t>
  </si>
  <si>
    <t>18.10</t>
  </si>
  <si>
    <t>Sub-Grupo 18.10</t>
  </si>
  <si>
    <t>18.11</t>
  </si>
  <si>
    <t>Sub-Grupo 18.11</t>
  </si>
  <si>
    <t>18.12</t>
  </si>
  <si>
    <t>Sub-Grupo 18.12</t>
  </si>
  <si>
    <t>18.13</t>
  </si>
  <si>
    <t>Sub-Grupo 18.13</t>
  </si>
  <si>
    <t>18.14</t>
  </si>
  <si>
    <t>Sub-Grupo 18.14</t>
  </si>
  <si>
    <t>18.15</t>
  </si>
  <si>
    <t>Sub-Grupo 18.15</t>
  </si>
  <si>
    <t>18.16</t>
  </si>
  <si>
    <t>Sub-Grupo 18.16</t>
  </si>
  <si>
    <t>18.17</t>
  </si>
  <si>
    <t>Sub-Grupo 18.17</t>
  </si>
  <si>
    <t>18.18</t>
  </si>
  <si>
    <t>Sub-Grupo 18.18</t>
  </si>
  <si>
    <t>18.19</t>
  </si>
  <si>
    <t>Sub-Grupo 18.19</t>
  </si>
  <si>
    <t>18.20</t>
  </si>
  <si>
    <t>Sub-Grupo 18.20</t>
  </si>
  <si>
    <t>RESERVADO 19</t>
  </si>
  <si>
    <t>19</t>
  </si>
  <si>
    <t>GRUPO 19</t>
  </si>
  <si>
    <t>19.01</t>
  </si>
  <si>
    <t>Sub-Grupo 19.01</t>
  </si>
  <si>
    <t>19.02</t>
  </si>
  <si>
    <t>Sub-Grupo 19.02</t>
  </si>
  <si>
    <t>19.03</t>
  </si>
  <si>
    <t>Sub-Grupo 19.03</t>
  </si>
  <si>
    <t>19.04</t>
  </si>
  <si>
    <t>Sub-Grupo 19.04</t>
  </si>
  <si>
    <t>19.05</t>
  </si>
  <si>
    <t>Sub-Grupo 19.05</t>
  </si>
  <si>
    <t>19.06</t>
  </si>
  <si>
    <t>Sub-Grupo 19.06</t>
  </si>
  <si>
    <t>19.07</t>
  </si>
  <si>
    <t>Sub-Grupo 19.07</t>
  </si>
  <si>
    <t>19.08</t>
  </si>
  <si>
    <t>Sub-Grupo 19.08</t>
  </si>
  <si>
    <t>19.09</t>
  </si>
  <si>
    <t>Sub-Grupo 19.09</t>
  </si>
  <si>
    <t>19.10</t>
  </si>
  <si>
    <t>Sub-Grupo 19.10</t>
  </si>
  <si>
    <t>19.11</t>
  </si>
  <si>
    <t>Sub-Grupo 19.11</t>
  </si>
  <si>
    <t>19.12</t>
  </si>
  <si>
    <t>Sub-Grupo 19.12</t>
  </si>
  <si>
    <t>19.13</t>
  </si>
  <si>
    <t>Sub-Grupo 19.13</t>
  </si>
  <si>
    <t>19.14</t>
  </si>
  <si>
    <t>Sub-Grupo 19.14</t>
  </si>
  <si>
    <t>19.15</t>
  </si>
  <si>
    <t>Sub-Grupo 19.15</t>
  </si>
  <si>
    <t>19.16</t>
  </si>
  <si>
    <t>Sub-Grupo 19.16</t>
  </si>
  <si>
    <t>19.17</t>
  </si>
  <si>
    <t>Sub-Grupo 19.17</t>
  </si>
  <si>
    <t>19.18</t>
  </si>
  <si>
    <t>Sub-Grupo 19.18</t>
  </si>
  <si>
    <t>19.19</t>
  </si>
  <si>
    <t>Sub-Grupo 19.19</t>
  </si>
  <si>
    <t>19.20</t>
  </si>
  <si>
    <t>Sub-Grupo 19.20</t>
  </si>
  <si>
    <t>RESERVADO 20</t>
  </si>
  <si>
    <t>20</t>
  </si>
  <si>
    <t>GRUPO 20</t>
  </si>
  <si>
    <t>20.01</t>
  </si>
  <si>
    <t>Sub-Grupo 20.01</t>
  </si>
  <si>
    <t>20.02</t>
  </si>
  <si>
    <t>Sub-Grupo 20.02</t>
  </si>
  <si>
    <t>20.03</t>
  </si>
  <si>
    <t>Sub-Grupo 20.03</t>
  </si>
  <si>
    <t>20.04</t>
  </si>
  <si>
    <t>Sub-Grupo 20.04</t>
  </si>
  <si>
    <t>20.05</t>
  </si>
  <si>
    <t>Sub-Grupo 20.05</t>
  </si>
  <si>
    <t>20.06</t>
  </si>
  <si>
    <t>Sub-Grupo 20.06</t>
  </si>
  <si>
    <t>20.07</t>
  </si>
  <si>
    <t>Sub-Grupo 20.07</t>
  </si>
  <si>
    <t>20.08</t>
  </si>
  <si>
    <t>Sub-Grupo 20.08</t>
  </si>
  <si>
    <t>20.09</t>
  </si>
  <si>
    <t>Sub-Grupo 20.09</t>
  </si>
  <si>
    <t>20.10</t>
  </si>
  <si>
    <t>Sub-Grupo 20.10</t>
  </si>
  <si>
    <t>20.11</t>
  </si>
  <si>
    <t>Sub-Grupo 20.11</t>
  </si>
  <si>
    <t>20.12</t>
  </si>
  <si>
    <t>Sub-Grupo 20.12</t>
  </si>
  <si>
    <t>20.13</t>
  </si>
  <si>
    <t>Sub-Grupo 20.13</t>
  </si>
  <si>
    <t>20.14</t>
  </si>
  <si>
    <t>Sub-Grupo 20.14</t>
  </si>
  <si>
    <t>20.15</t>
  </si>
  <si>
    <t>Sub-Grupo 20.15</t>
  </si>
  <si>
    <t>20.16</t>
  </si>
  <si>
    <t>Sub-Grupo 20.16</t>
  </si>
  <si>
    <t>20.17</t>
  </si>
  <si>
    <t>Sub-Grupo 20.17</t>
  </si>
  <si>
    <t>20.18</t>
  </si>
  <si>
    <t>Sub-Grupo 20.18</t>
  </si>
  <si>
    <t>20.19</t>
  </si>
  <si>
    <t>Sub-Grupo 20.19</t>
  </si>
  <si>
    <t>20.20</t>
  </si>
  <si>
    <t>Sub-Grupo 20.20</t>
  </si>
  <si>
    <t>TOTAL GERAL</t>
  </si>
  <si>
    <t>RESUMO GERAL DO ORÇAMENTO</t>
  </si>
  <si>
    <t>% Grupo</t>
  </si>
  <si>
    <t>% Total</t>
  </si>
  <si>
    <t>TOTAL</t>
  </si>
  <si>
    <t>CRONOGRAMA FÍSICO (EM DIAS CORRIDOS)</t>
  </si>
  <si>
    <t>GRUPO DE INSUMOS</t>
  </si>
  <si>
    <t>CRONOGRAMA FINANCEIRO (EM DIAS CORRIDOS)</t>
  </si>
  <si>
    <t>PARA CONFERIR OS RESULTADOS</t>
  </si>
  <si>
    <t>DIFERENÇA</t>
  </si>
  <si>
    <t>SOMA</t>
  </si>
  <si>
    <t>VALOR</t>
  </si>
  <si>
    <t>VALOR DO PERÍODO</t>
  </si>
  <si>
    <t>VALOR ACUMULADO</t>
  </si>
  <si>
    <t>PERCENTUAL DO PERÍODO</t>
  </si>
  <si>
    <t>PERCENTUAL ACUMULADO</t>
  </si>
  <si>
    <t>DADOS PARA OS GRÁFICOS</t>
  </si>
  <si>
    <t>PREÇO_CUSTO</t>
  </si>
  <si>
    <t>DISCRIMINAÇÃO</t>
  </si>
  <si>
    <t>1</t>
  </si>
  <si>
    <t>outubro / 2021</t>
  </si>
  <si>
    <t>EXECUÇÃO DE SERVIÇOS TÉCNICOS DE APOIO NA EXPANSÃO DE SISTEMAS DE ÁGUA E ESGOTO DA UNBSC</t>
  </si>
  <si>
    <t>DIRETORIA DE OPERAÇÕES - DDO</t>
  </si>
  <si>
    <t>GERÊNCIA DE MELHORIA OPERACIONAL                                                                                                                                                                                                                                                                                                                              COORDENADORIA DE PROJETOS, CUSTOS E ORÇAMENTO DE OPERAÇÕES</t>
  </si>
  <si>
    <t>SERVIÇOS DE EXPANSÃO - COMUM</t>
  </si>
  <si>
    <t>TRÂNSITO E SEGURANÇA</t>
  </si>
  <si>
    <t>01.01.01</t>
  </si>
  <si>
    <t>C2947</t>
  </si>
  <si>
    <t>SINALIZAÇÃO DE ADVERTÊNCIA</t>
  </si>
  <si>
    <t>UN</t>
  </si>
  <si>
    <t>MOVIMENTO DE TERRA</t>
  </si>
  <si>
    <t>01.02.01</t>
  </si>
  <si>
    <t>C2784</t>
  </si>
  <si>
    <t>ESCAVAÇÃO MANUAL SOLO DE 1A.CAT. PROF. ATÉ 1.50m</t>
  </si>
  <si>
    <t>M3</t>
  </si>
  <si>
    <t>01.02.02</t>
  </si>
  <si>
    <t>C2785</t>
  </si>
  <si>
    <t>ESCAVAÇÃO MANUAL SOLO DE 2A CAT. PROF. ATÉ 1.50m</t>
  </si>
  <si>
    <t>01.02.03</t>
  </si>
  <si>
    <t>C5177</t>
  </si>
  <si>
    <t>ESCAVAÇÃO EM ROCHA BRANDA A FRIO COM ESCAVADEIRA HIDRÁULICA E ROMPEDOR ACOPLADO</t>
  </si>
  <si>
    <t>01.02.04</t>
  </si>
  <si>
    <t>C2920</t>
  </si>
  <si>
    <t>REATERRO C/COMPACTAÇÃO MECÂNICA, E CONTROLE, MATERIAL DA VALA</t>
  </si>
  <si>
    <t>01.02.05</t>
  </si>
  <si>
    <t>C2921</t>
  </si>
  <si>
    <t>REATERRO C/COMPACTAÇÃO MANUAL S/CONTROLE, MATERIAL DA VALA</t>
  </si>
  <si>
    <t>01.02.06</t>
  </si>
  <si>
    <t>C0330</t>
  </si>
  <si>
    <t>ATERRO C/COMPACTAÇÃO MANUAL S/CONTROLE, MAT. C/AQUISIÇÃO</t>
  </si>
  <si>
    <t>01.02.07</t>
  </si>
  <si>
    <t>C0707</t>
  </si>
  <si>
    <t>CARGA MANUAL DE TERRA EM CAMINHÃO BASCULANTE</t>
  </si>
  <si>
    <t>01.02.08</t>
  </si>
  <si>
    <t>C2533</t>
  </si>
  <si>
    <t>TRANSPORTE DE MATERIAL, EXCETO ROCHA EM CAMINHÃO ATÉ 5 KM</t>
  </si>
  <si>
    <t>01.02.09</t>
  </si>
  <si>
    <t>C2860</t>
  </si>
  <si>
    <t>LASTRO DE AREIA ADQUIRIDA</t>
  </si>
  <si>
    <t>PAVIMENTAÇÃO DE VIA URBANA</t>
  </si>
  <si>
    <t>01.03.01</t>
  </si>
  <si>
    <t>C2940</t>
  </si>
  <si>
    <t>RETIRADA DE PAVIMENTAÇÃO EM PARALELEPÍPEDO OU PEDRA TOSCA</t>
  </si>
  <si>
    <t>M2</t>
  </si>
  <si>
    <t>01.03.02</t>
  </si>
  <si>
    <t>C2938</t>
  </si>
  <si>
    <t>RETIRADA DE PAVIMENTAÇÃO ASFÁLTICA COM BASE EM PEDRA</t>
  </si>
  <si>
    <t>01.03.03</t>
  </si>
  <si>
    <t>C0702</t>
  </si>
  <si>
    <t>CARGA MANUAL DE ENTULHO EM CAMINHÃO BASCULANTE</t>
  </si>
  <si>
    <t>01.03.04</t>
  </si>
  <si>
    <t>01.03.05</t>
  </si>
  <si>
    <t>01.03.06</t>
  </si>
  <si>
    <t>01.03.07</t>
  </si>
  <si>
    <t>01.03.08</t>
  </si>
  <si>
    <t>01.03.09</t>
  </si>
  <si>
    <t>C2932</t>
  </si>
  <si>
    <t>RECOMPOSIÇÃO DE PAVIMENTAÇÃO EM PEDRA TOSCA C/REJUNTAMENTO</t>
  </si>
  <si>
    <t>C2926</t>
  </si>
  <si>
    <t>RECOMPOSIÇÃO DE CAPA EM CONCRETO ASFÁLTICO (CBUQ), ESP.= 5cm</t>
  </si>
  <si>
    <t>C2927</t>
  </si>
  <si>
    <t>RECOMPOSIÇÃO DE MEIO FIO EM CONCRETO</t>
  </si>
  <si>
    <t>M</t>
  </si>
  <si>
    <t>C1915</t>
  </si>
  <si>
    <t>PISO CIMENTADO C/ ARGAMASSA DE CIMENTO E AREIA S/ PENEIRAR, TRAÇO 1:4, ESP.= 1.5cm</t>
  </si>
  <si>
    <t>C3259</t>
  </si>
  <si>
    <t>CARGA E TRANSPORTE ATÉ 5KM DE REVESTIMENTO BETUMINOSO DEMOLIDO</t>
  </si>
  <si>
    <t>DEMOLIÇÃO</t>
  </si>
  <si>
    <t>01.04.01</t>
  </si>
  <si>
    <t>C1066</t>
  </si>
  <si>
    <t>DEMOLIÇÃO DE PISO CIMENTADO SOBRE LASTRO DE CONCRETO</t>
  </si>
  <si>
    <t>01.04.02</t>
  </si>
  <si>
    <t>01.04.03</t>
  </si>
  <si>
    <t>PAREDES</t>
  </si>
  <si>
    <t>01.05.01</t>
  </si>
  <si>
    <t>C0073</t>
  </si>
  <si>
    <t>ALVENARIA DE TIJOLO CERÂMICO FURADO (9x19x19)cm C/ARGAMASSA MISTA DE CAL HIDRATADA ESP.=10cm (1:2:8)</t>
  </si>
  <si>
    <t>PGRSCC, COMPLEMENTAÇÃO TRANSPORTE E DESTINAÇÃO FINAL</t>
  </si>
  <si>
    <t>COMP01</t>
  </si>
  <si>
    <t>ELABORAÇÃO DE PLANO DE GERENCIAMENTO DE RESIDUOS  DA CONSTRUÇÃO CIVIL  (PGRCC) - OBRAS DE SANEAMENTO</t>
  </si>
  <si>
    <t>C2987</t>
  </si>
  <si>
    <t>COMPLEMENTAÇÃO DE TRANSPORTE EM CAMINHÃO BASCULANTE</t>
  </si>
  <si>
    <t>M3xKM</t>
  </si>
  <si>
    <t>01.06.01</t>
  </si>
  <si>
    <t>01.06.02</t>
  </si>
  <si>
    <t>01.06.03</t>
  </si>
  <si>
    <t>C5185</t>
  </si>
  <si>
    <t>DESTINAÇÃO FINAL DO RESÍDUO SOLIDO NÃO SEGREGADO EM TERRENO LICENCIADO - SEM TRANSPORTE</t>
  </si>
  <si>
    <t>SERVIÇOS DE EXPANSÃO - ÁGUA</t>
  </si>
  <si>
    <t>LIGAÇÃO PREDIAL COM DEMOLIÇÃO DO PAVIMENTO</t>
  </si>
  <si>
    <t>02.01.01</t>
  </si>
  <si>
    <t>C2865</t>
  </si>
  <si>
    <t>LIGAÇÃO PREDIAL D'ÁGUA PADRÃO CAGECE</t>
  </si>
  <si>
    <t>02.01.02</t>
  </si>
  <si>
    <t>C2911</t>
  </si>
  <si>
    <t>RAMAL PREDIAL COM PAVIMENTAÇÃO EM ASFALTO</t>
  </si>
  <si>
    <t>02.01.03</t>
  </si>
  <si>
    <t>C2912</t>
  </si>
  <si>
    <t>RAMAL PREDIAL COM PAVIMENTAÇÃO EM PEDRA TOSCA OU PARALELO</t>
  </si>
  <si>
    <t>02.01.04</t>
  </si>
  <si>
    <t>C2919</t>
  </si>
  <si>
    <t>RAMAL PREDIAL S/ PAVIMENTAÇÃO</t>
  </si>
  <si>
    <t>ASSENTAMENTO DE TUB., INCLUSIVE TRANSPORTE, LIMPEZA E TESTE</t>
  </si>
  <si>
    <t>02.02.01</t>
  </si>
  <si>
    <t>C0291</t>
  </si>
  <si>
    <t>ASSENTAMENTO DE TUBOS E CONEXÕES EM PVC, JE DN 50mm</t>
  </si>
  <si>
    <t>02.02.02</t>
  </si>
  <si>
    <t>C0292</t>
  </si>
  <si>
    <t>ASSENTAMENTO DE TUBOS E CONEXÕES EM PVC, JE DN 75mm</t>
  </si>
  <si>
    <t>02.02.03</t>
  </si>
  <si>
    <t>C0281</t>
  </si>
  <si>
    <t>ASSENTAMENTO DE TUBOS E CONEXÕES EM PVC, JE DN 100mm</t>
  </si>
  <si>
    <t>02.02.04</t>
  </si>
  <si>
    <t>C0283</t>
  </si>
  <si>
    <t>ASSENTAMENTO DE TUBOS E CONEXÕES EM PVC, JE DN 150mm</t>
  </si>
  <si>
    <t>02.02.05</t>
  </si>
  <si>
    <t>C0284</t>
  </si>
  <si>
    <t>ASSENTAMENTO DE TUBOS E CONEXÕES EM PVC, JE DN 200mm</t>
  </si>
  <si>
    <t>02.02.06</t>
  </si>
  <si>
    <t>C0285</t>
  </si>
  <si>
    <t>ASSENTAMENTO DE TUBOS E CONEXÕES EM PVC, JE DN 250mm</t>
  </si>
  <si>
    <t>INJETAMENTO EM REDE EXISTENTE</t>
  </si>
  <si>
    <t>02.03.01</t>
  </si>
  <si>
    <t>C2762</t>
  </si>
  <si>
    <t>INJETAMENTO EM TUBO EXISTENTE PVC ATE 100mm INCL. DESLOCAMENTO</t>
  </si>
  <si>
    <t>02.03.02</t>
  </si>
  <si>
    <t>C2761</t>
  </si>
  <si>
    <t>INJETAMENTO EM TUBO EXISTENTE PVC 100&lt;DN&lt;=200mm INCL. DESLOCAMENTO</t>
  </si>
  <si>
    <t>BLOCO DE ANCORAGEM</t>
  </si>
  <si>
    <t>02.04.01</t>
  </si>
  <si>
    <t>C3402</t>
  </si>
  <si>
    <t>BLOCO DE ANCORAGEM EM CONCRETO CICLÓPICO</t>
  </si>
  <si>
    <t>02.04.02</t>
  </si>
  <si>
    <t>C3403</t>
  </si>
  <si>
    <t>BLOCO DE ANCORAGEM EM CONCRETO SIMPLES FCK=10MPa</t>
  </si>
  <si>
    <t>SERVIÇOS EM REGISTRO</t>
  </si>
  <si>
    <t>02.05.01</t>
  </si>
  <si>
    <t>C0653</t>
  </si>
  <si>
    <t>CAIXA P/REGISTRO OU VENTOSA EM ALVENARIA DE TIJOLO MACIÇO, DN ATÉ 200mm</t>
  </si>
  <si>
    <t>02.05.02</t>
  </si>
  <si>
    <t>C0810</t>
  </si>
  <si>
    <t>COLOCAÇÃO DE REGISTRO EM REDE EM OPERAÇÃO DN  50 a 100</t>
  </si>
  <si>
    <t>02.05.03</t>
  </si>
  <si>
    <t>C0811</t>
  </si>
  <si>
    <t>COLOCAÇÃO DE REGISTRO EM REDE EM OPERAÇÃO DN 150 a 200</t>
  </si>
  <si>
    <t>DIVERSOS</t>
  </si>
  <si>
    <t>02.06.01</t>
  </si>
  <si>
    <t>C4976</t>
  </si>
  <si>
    <t>POSTE DE CONCRETO DUPLO T, RESISTÊNCIA NOMINAL 150KG, H= 9,00M, PESO APROXIMADO 470KG</t>
  </si>
  <si>
    <t>02.06.02</t>
  </si>
  <si>
    <t>C4974</t>
  </si>
  <si>
    <t>POSTE DE CONCRETO DUPLO T, RESISTÊNCIA NOMINAL 600KG, H=12,00M, PESO APROXIMADO 1.330KG</t>
  </si>
  <si>
    <t>I0726</t>
  </si>
  <si>
    <t>COMPACTADOR LISO TANDEM AUTOPROPELIDO (CHP)</t>
  </si>
  <si>
    <t>H</t>
  </si>
  <si>
    <t>I8606</t>
  </si>
  <si>
    <t>VEÍCULO LEVE C/ COMBUSTÍVEL E MOTORISTA</t>
  </si>
  <si>
    <t>UNxMÊS</t>
  </si>
  <si>
    <t>I0765</t>
  </si>
  <si>
    <t>RETRO ESCAVADEIRA DE PNEUS (CHP)</t>
  </si>
  <si>
    <t>I0704</t>
  </si>
  <si>
    <t>CAMINHÃO C/CARROCERIA DE MADEIRA HP  92 (CHP)</t>
  </si>
  <si>
    <t>I0705</t>
  </si>
  <si>
    <t>CAMINHÃO COMERC. EQUIP. C/GUINDASTE (CHP)</t>
  </si>
  <si>
    <t>02.06.03</t>
  </si>
  <si>
    <t>02.06.04</t>
  </si>
  <si>
    <t>02.06.05</t>
  </si>
  <si>
    <t>02.06.06</t>
  </si>
  <si>
    <t>02.06.07</t>
  </si>
  <si>
    <t>SERVIÇOS DE EXPANSÃO - ESGOTO</t>
  </si>
  <si>
    <t>LIGAÇÃO PREDIAL DE ESGOTO EM QUALQUER PROFUNDIDADE</t>
  </si>
  <si>
    <t>03.01.01</t>
  </si>
  <si>
    <t>C2916</t>
  </si>
  <si>
    <t>RAMAL PREDIAL DE ESGOTO EM PVC 100mm, C/PAVIMENTO EM ASFALTO</t>
  </si>
  <si>
    <t>03.01.02</t>
  </si>
  <si>
    <t>C2917</t>
  </si>
  <si>
    <t>RAMAL PREDIAL DE ESGOTO EM PVC 100mm, C/PAVIMENTO EM PEDRA TOSCA</t>
  </si>
  <si>
    <t>03.01.03</t>
  </si>
  <si>
    <t>C2918</t>
  </si>
  <si>
    <t>RAMAL PREDIAL DE ESGOTO EM PVC 100mm, S/ PAVIMENTO</t>
  </si>
  <si>
    <t>03.01.04</t>
  </si>
  <si>
    <t>C0615</t>
  </si>
  <si>
    <t>CAIXA DE INSPEÇÃO NO PASSEIO EM ANÉIS D= 600mm, PADRÃO CAGECE</t>
  </si>
  <si>
    <t>03.01.05</t>
  </si>
  <si>
    <t>C0649</t>
  </si>
  <si>
    <t>CAIXA INSPEÇÃO NO PASSEIO EM ALVENARIA DI=(50X50)cm, PADRÃO CAGECE</t>
  </si>
  <si>
    <t>LIGAÇÕES INTRADOMICILIARES DE ESGOTO</t>
  </si>
  <si>
    <t>03.02.01</t>
  </si>
  <si>
    <t>C5125</t>
  </si>
  <si>
    <t>RAMAL INTRADOMICILIAR DE ESGOTO PARA TUBULAÇÃO DE 100MM</t>
  </si>
  <si>
    <t>03.02.02</t>
  </si>
  <si>
    <t>C5041</t>
  </si>
  <si>
    <t>RAMAL INTRADOMICILIAR DE ESGOTO PARA TUBULAÇÃO DE 40MM</t>
  </si>
  <si>
    <t>03.02.03</t>
  </si>
  <si>
    <t>C0610</t>
  </si>
  <si>
    <t>CAIXA EM ALVENARIA (40X40X60cm) DE 1 TIJOLO COMUM, LASTRO DE CONCRETO E TAMPA DE CONCRETO</t>
  </si>
  <si>
    <t>03.02.04</t>
  </si>
  <si>
    <t>C0603</t>
  </si>
  <si>
    <t>CAIXA EM ALVENARIA (40X40X60cm) DE 1/2 TIJOLO COMUM, LASTRO DE CONCRETO E TAMPA DE CONCRETO</t>
  </si>
  <si>
    <t>03.02.05</t>
  </si>
  <si>
    <t>C3738</t>
  </si>
  <si>
    <t>INSTALAÇÃO DE TUBO DE VENTILAÇÃO 50mm C/ L=4m, C/ REBOCO E PINTURA A CAL (C/ MATERIAL)</t>
  </si>
  <si>
    <t>REDE COLETORA DE ESGOTO</t>
  </si>
  <si>
    <t>03.03.01</t>
  </si>
  <si>
    <t>C2977</t>
  </si>
  <si>
    <t>TAMPONAMENTO PROVISÓRIO DE POÇO DE VISITA</t>
  </si>
  <si>
    <t>03.03.02</t>
  </si>
  <si>
    <t>C2876</t>
  </si>
  <si>
    <t>LOCAÇÃO E NIVELAMENTO DE REDE DE ESGOTO/EMISSÁRIO/DRENAGEM</t>
  </si>
  <si>
    <t>03.03.03</t>
  </si>
  <si>
    <t>03.03.04</t>
  </si>
  <si>
    <t>C0584</t>
  </si>
  <si>
    <t>CADASTRO DE REDE DE ESGOTO/EMISSÁRIO/DRENAGEM (MEIO MAGNÉTICO)</t>
  </si>
  <si>
    <t>POÇOS DE VISITA PRÉ-MOLDADOS (PADRÃO CAGECE)</t>
  </si>
  <si>
    <t>03.04.01</t>
  </si>
  <si>
    <t>C2907</t>
  </si>
  <si>
    <t>POÇO DE VISITA, C/ANÉIS DE CONCRETO, PROF. ATÉ 1.00m, D= 600mm</t>
  </si>
  <si>
    <t>03.04.02</t>
  </si>
  <si>
    <t>C2908</t>
  </si>
  <si>
    <t>POÇO DE VISITA, C/ANÉIS DE CONCRETO, PROF. ATÉ 1.50m, D=1000mm</t>
  </si>
  <si>
    <t>03.04.03</t>
  </si>
  <si>
    <t>C0011</t>
  </si>
  <si>
    <t>ACRÉSCIMO DE CÂMARA EM PV C/ANÉIS DE CONCRETO D= 600mm</t>
  </si>
  <si>
    <t>03.04.04</t>
  </si>
  <si>
    <t>C0012</t>
  </si>
  <si>
    <t>ACRÉSCIMO DE CÂMARA EM PV C/ANÉIS DE CONCRETO D=1000mm</t>
  </si>
  <si>
    <t>03.04.05</t>
  </si>
  <si>
    <t>I3076</t>
  </si>
  <si>
    <t>TAMPÃO FoFo DÚCTIL DN 600 CL-300, DISPOS. ANTI-ROUBO</t>
  </si>
  <si>
    <t>OUTROS SERVIÇOS DE ESGOTO</t>
  </si>
  <si>
    <t>03.05.01</t>
  </si>
  <si>
    <t>C0795</t>
  </si>
  <si>
    <t>CHUMBAMENTO TUBULAÇÃO NO POÇO VISITA (BLOCO DE CONCRETO)</t>
  </si>
  <si>
    <t>03.05.02</t>
  </si>
  <si>
    <t>C2817</t>
  </si>
  <si>
    <t>EXECUÇÃO DE CALHA EM CONCRETO NO POÇO DE VISITA</t>
  </si>
  <si>
    <t>03.05.03</t>
  </si>
  <si>
    <t>C0814</t>
  </si>
  <si>
    <t>COLOCAÇÃO E CHUMBAMENTO LAJE EXCÊNTRICA, CHAMINÉ E TAMPÃO EM PV</t>
  </si>
  <si>
    <t>03.05.04</t>
  </si>
  <si>
    <t>C0815</t>
  </si>
  <si>
    <t>COLOCAÇÃO E CHUMBAMENTO LAJE EXCENTRICA E TAMPÃO EM PV</t>
  </si>
  <si>
    <t>03.05.05</t>
  </si>
  <si>
    <t>C1604</t>
  </si>
  <si>
    <t>LANÇAMENTO E APLICAÇÃO DE CONCRETO S/ ELEVAÇÃO</t>
  </si>
  <si>
    <t>03.05.06</t>
  </si>
  <si>
    <t>C0836</t>
  </si>
  <si>
    <t>CONCRETO NÃO ESTRUTURAL PREPARO MANUAL</t>
  </si>
  <si>
    <t>FORNECIMENTO DE TUBULAÇÃO, CONEXÕES E ACESSÓRIOS</t>
  </si>
  <si>
    <t>03.06.01</t>
  </si>
  <si>
    <t>I2456</t>
  </si>
  <si>
    <t>TUBO PVC ESGOTO PRIMÁRIO DE 100 - (NBR 5688)</t>
  </si>
  <si>
    <t>03.06.02</t>
  </si>
  <si>
    <t>I1323</t>
  </si>
  <si>
    <t>JUNÇÃO DUPLA PVC ESGOTO DE 100MM</t>
  </si>
  <si>
    <t>03.06.03</t>
  </si>
  <si>
    <t>I1282</t>
  </si>
  <si>
    <t>JOELHO PVC PARA ESGOTO DE 100MM</t>
  </si>
  <si>
    <t>03.06.04</t>
  </si>
  <si>
    <t>I1284</t>
  </si>
  <si>
    <t>JOELHO PVC PARA ESGOTO DE  50MM</t>
  </si>
  <si>
    <t>03.06.05</t>
  </si>
  <si>
    <t>I1283</t>
  </si>
  <si>
    <t>JOELHO PVC PARA ESGOTO DE  40MM</t>
  </si>
  <si>
    <t>03.06.06</t>
  </si>
  <si>
    <t>I2012</t>
  </si>
  <si>
    <t>TE PVC PARA ESGOTO DE 100MM (4")</t>
  </si>
  <si>
    <t>03.06.07</t>
  </si>
  <si>
    <t>I2014</t>
  </si>
  <si>
    <t>TE PVC PARA ESGOTO DE  50MM (2")</t>
  </si>
  <si>
    <t>03.06.08</t>
  </si>
  <si>
    <t>I0297</t>
  </si>
  <si>
    <t>BUCHA REDUÇÃO PVC ESGOTO 100X75MM (4"X3")</t>
  </si>
  <si>
    <t>03.06.09</t>
  </si>
  <si>
    <t>I0325</t>
  </si>
  <si>
    <t>BUCHA REDUÇÃO PVC LONGA ESGOTO 50X40MM</t>
  </si>
  <si>
    <t>03.06.10</t>
  </si>
  <si>
    <t>I0435</t>
  </si>
  <si>
    <t>CAIXA SIFONADA 150 x 150 x 50 COM GRELHA</t>
  </si>
  <si>
    <t>03.06.11</t>
  </si>
  <si>
    <t>I3113</t>
  </si>
  <si>
    <t>CURVA 90 PBA COM PONTA E BOLSA DN  50</t>
  </si>
  <si>
    <t>03.06.12</t>
  </si>
  <si>
    <t>I3115</t>
  </si>
  <si>
    <t>CURVA 90 PBA COM PONTA E BOLSA DN 100</t>
  </si>
  <si>
    <t>CANTEIRO DE OBRAS</t>
  </si>
  <si>
    <t>INSTALAÇÃO DO CANTEIRO</t>
  </si>
  <si>
    <t>04.01.01</t>
  </si>
  <si>
    <t>C0372</t>
  </si>
  <si>
    <t>BARRACÃO PARA ESCRITÓRIO TIPO A3</t>
  </si>
  <si>
    <t>04.01.02</t>
  </si>
  <si>
    <t>C0369</t>
  </si>
  <si>
    <t>BARRACÃO ABERTO</t>
  </si>
  <si>
    <t>04.01.03</t>
  </si>
  <si>
    <t>C2946</t>
  </si>
  <si>
    <t>SANITÁRIOS E CHUVEIROS</t>
  </si>
  <si>
    <t>04.01.04</t>
  </si>
  <si>
    <t>C2936</t>
  </si>
  <si>
    <t>REFEITÓRIOS</t>
  </si>
  <si>
    <t>04.01.05</t>
  </si>
  <si>
    <t>C0043</t>
  </si>
  <si>
    <t>ALOJAMENTO</t>
  </si>
  <si>
    <t>04.01.06</t>
  </si>
  <si>
    <t>C0743</t>
  </si>
  <si>
    <t>CERCA C/ ESTACAS DE CONCRETO ARMADO (2,20 X 0,10 X 0,10M) E MOURÃO DE CONCRETO ARMADO (2,20 X 0,15 X 0,15M) - 6 FIOS DE ARAME FARPADO</t>
  </si>
  <si>
    <t>04.01.07</t>
  </si>
  <si>
    <t>C4990</t>
  </si>
  <si>
    <t>MOBILIZAÇÃO DE EQUIPAMENTOS EM CAMINHÃO EQUIPADO COM GUINDASTE</t>
  </si>
  <si>
    <t>KM</t>
  </si>
  <si>
    <t>04.01.08</t>
  </si>
  <si>
    <t>C4991</t>
  </si>
  <si>
    <t>DESMOBILIZAÇÃO DE EQUIPAMENTOS EM CAMINHÃO EQUIPADO COM GUINDASTE</t>
  </si>
  <si>
    <t>04.01.09</t>
  </si>
  <si>
    <t>C2850</t>
  </si>
  <si>
    <t>INSTALAÇÕES PROVISÓRIAS DE LUZ , FORÇA,TELEFONE E LÓGICA</t>
  </si>
  <si>
    <t>04.01.10</t>
  </si>
  <si>
    <t>C2851</t>
  </si>
  <si>
    <t>INSTALAÇÕES PROVISÓRIAS DE ÁGUA</t>
  </si>
  <si>
    <t>04.01.11</t>
  </si>
  <si>
    <t>C2831</t>
  </si>
  <si>
    <t>FOSSA SUMIDOURO PARA BARRACÃO</t>
  </si>
  <si>
    <t>04.01.12</t>
  </si>
  <si>
    <t>C1937</t>
  </si>
  <si>
    <t>PLACAS PADRÃO DE OBRA</t>
  </si>
  <si>
    <t>04.01.13</t>
  </si>
  <si>
    <t>I9846</t>
  </si>
  <si>
    <t>LOCAÇÃO DE BANHEIRO QUÍMICO</t>
  </si>
  <si>
    <t>MÊS</t>
  </si>
  <si>
    <t>ADMINISTRAÇÃO LOCAL</t>
  </si>
  <si>
    <t>COMP02</t>
  </si>
  <si>
    <t xml:space="preserve">TOTAL - ADM LOCAL </t>
  </si>
  <si>
    <t xml:space="preserve"> TCU 2622/2013 </t>
  </si>
  <si>
    <t xml:space="preserve"> CONSTRUÇÃO DE REDES DE ABASTECIMENTO DE ÁGUA, COLETA DE ESGOTO E CONSTRUÇÕES CORRELATAS </t>
  </si>
  <si>
    <t>ADM LOCAL</t>
  </si>
  <si>
    <t>05.01.01</t>
  </si>
  <si>
    <t>27.1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</si>
</sst>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@*."/>
    <numFmt numFmtId="166" formatCode="_(* #,##0_);_(* \(#,##0\);_(* &quot;-&quot;??_);_(@_)"/>
    <numFmt numFmtId="167" formatCode="_(* #,##0.0000_);_(* \(#,##0.0000\);_(* &quot;-&quot;??_);_(@_)"/>
    <numFmt numFmtId="168" formatCode="\ @"/>
    <numFmt numFmtId="169" formatCode="mmmm\ &quot;de&quot;\ yyyy"/>
    <numFmt numFmtId="170" formatCode="mmmm\ /\ yyyy"/>
  </numFmts>
  <fonts count="34">
    <font>
      <sz val="10"/>
      <name val="Arial"/>
    </font>
    <font>
      <sz val="10"/>
      <name val="Arial"/>
    </font>
    <font>
      <i/>
      <sz val="10"/>
      <name val="ETERNA"/>
    </font>
    <font>
      <b/>
      <i/>
      <sz val="10"/>
      <name val="ETERNA"/>
    </font>
    <font>
      <b/>
      <i/>
      <sz val="10"/>
      <color indexed="9"/>
      <name val="ETERNA"/>
    </font>
    <font>
      <i/>
      <sz val="9"/>
      <name val="ETERNA"/>
    </font>
    <font>
      <sz val="10"/>
      <name val="ETERNA"/>
    </font>
    <font>
      <b/>
      <i/>
      <sz val="12"/>
      <name val="ETERNA"/>
    </font>
    <font>
      <i/>
      <sz val="9"/>
      <color indexed="8"/>
      <name val="ETERNA"/>
    </font>
    <font>
      <b/>
      <i/>
      <sz val="10"/>
      <color indexed="8"/>
      <name val="ETERNA"/>
    </font>
    <font>
      <i/>
      <sz val="10"/>
      <color indexed="8"/>
      <name val="ETERNA"/>
    </font>
    <font>
      <sz val="9"/>
      <name val="Arial"/>
    </font>
    <font>
      <b/>
      <sz val="10"/>
      <name val="ETERNA"/>
    </font>
    <font>
      <b/>
      <i/>
      <u/>
      <sz val="10"/>
      <name val="ETERNA"/>
    </font>
    <font>
      <b/>
      <i/>
      <sz val="16"/>
      <name val="ETERNA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u val="singleAccounting"/>
      <sz val="10"/>
      <name val="Verdana"/>
      <family val="2"/>
    </font>
    <font>
      <b/>
      <sz val="10"/>
      <color indexed="48"/>
      <name val="Verdana"/>
      <family val="2"/>
    </font>
    <font>
      <sz val="11"/>
      <name val="Verdana"/>
      <family val="2"/>
    </font>
    <font>
      <b/>
      <sz val="11"/>
      <color indexed="48"/>
      <name val="Verdana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b/>
      <sz val="8"/>
      <color indexed="48"/>
      <name val="Verdana"/>
      <family val="2"/>
    </font>
    <font>
      <b/>
      <u/>
      <sz val="1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Verdana"/>
      <family val="2"/>
    </font>
    <font>
      <sz val="10"/>
      <name val="Verdana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rgb="FFCC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164" fontId="2" fillId="0" borderId="0" xfId="2" applyFont="1" applyAlignment="1">
      <alignment vertical="center"/>
    </xf>
    <xf numFmtId="164" fontId="5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4" fillId="6" borderId="3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0" fontId="5" fillId="0" borderId="0" xfId="1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164" fontId="2" fillId="6" borderId="0" xfId="2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2" applyFont="1" applyFill="1" applyAlignment="1">
      <alignment vertical="center"/>
    </xf>
    <xf numFmtId="164" fontId="14" fillId="0" borderId="0" xfId="2" applyFont="1" applyFill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0" fontId="8" fillId="7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164" fontId="4" fillId="8" borderId="0" xfId="0" applyNumberFormat="1" applyFont="1" applyFill="1" applyAlignment="1">
      <alignment horizontal="right" vertical="center"/>
    </xf>
    <xf numFmtId="164" fontId="3" fillId="9" borderId="0" xfId="0" applyNumberFormat="1" applyFont="1" applyFill="1" applyAlignment="1">
      <alignment vertical="center"/>
    </xf>
    <xf numFmtId="164" fontId="3" fillId="10" borderId="0" xfId="2" applyFont="1" applyFill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15" fillId="0" borderId="0" xfId="2" applyNumberFormat="1" applyFont="1" applyAlignment="1"/>
    <xf numFmtId="0" fontId="16" fillId="0" borderId="0" xfId="0" applyNumberFormat="1" applyFont="1"/>
    <xf numFmtId="0" fontId="16" fillId="0" borderId="0" xfId="2" applyNumberFormat="1" applyFont="1" applyAlignment="1">
      <alignment horizontal="centerContinuous" vertical="top"/>
    </xf>
    <xf numFmtId="164" fontId="16" fillId="0" borderId="0" xfId="2" applyFont="1" applyAlignment="1">
      <alignment horizontal="centerContinuous" vertical="top"/>
    </xf>
    <xf numFmtId="164" fontId="15" fillId="7" borderId="0" xfId="2" applyFont="1" applyFill="1" applyAlignment="1">
      <alignment horizontal="center" vertical="top"/>
    </xf>
    <xf numFmtId="164" fontId="16" fillId="0" borderId="0" xfId="2" applyFont="1" applyAlignment="1">
      <alignment vertical="top"/>
    </xf>
    <xf numFmtId="10" fontId="16" fillId="7" borderId="0" xfId="2" applyNumberFormat="1" applyFont="1" applyFill="1" applyAlignment="1">
      <alignment horizontal="center" vertical="top"/>
    </xf>
    <xf numFmtId="168" fontId="15" fillId="0" borderId="0" xfId="2" applyNumberFormat="1" applyFont="1" applyAlignment="1">
      <alignment vertical="top"/>
    </xf>
    <xf numFmtId="0" fontId="16" fillId="0" borderId="0" xfId="0" applyFont="1"/>
    <xf numFmtId="168" fontId="16" fillId="0" borderId="0" xfId="2" applyNumberFormat="1" applyFont="1" applyAlignment="1">
      <alignment vertical="top"/>
    </xf>
    <xf numFmtId="0" fontId="16" fillId="0" borderId="0" xfId="0" applyFont="1" applyAlignment="1">
      <alignment vertical="top"/>
    </xf>
    <xf numFmtId="169" fontId="16" fillId="0" borderId="0" xfId="2" applyNumberFormat="1" applyFont="1" applyAlignment="1">
      <alignment vertical="top"/>
    </xf>
    <xf numFmtId="39" fontId="16" fillId="7" borderId="0" xfId="2" applyNumberFormat="1" applyFont="1" applyFill="1" applyAlignment="1">
      <alignment horizontal="center" vertical="top"/>
    </xf>
    <xf numFmtId="164" fontId="16" fillId="0" borderId="0" xfId="2" applyFont="1" applyFill="1" applyAlignment="1">
      <alignment vertical="top"/>
    </xf>
    <xf numFmtId="168" fontId="18" fillId="0" borderId="0" xfId="2" applyNumberFormat="1" applyFont="1" applyAlignment="1">
      <alignment vertical="top"/>
    </xf>
    <xf numFmtId="164" fontId="18" fillId="0" borderId="0" xfId="2" applyFont="1" applyAlignment="1">
      <alignment vertical="top" wrapText="1"/>
    </xf>
    <xf numFmtId="164" fontId="18" fillId="0" borderId="0" xfId="2" applyFont="1" applyAlignment="1">
      <alignment vertical="top"/>
    </xf>
    <xf numFmtId="164" fontId="18" fillId="0" borderId="0" xfId="2" applyFont="1" applyAlignment="1">
      <alignment horizontal="right" vertical="top"/>
    </xf>
    <xf numFmtId="0" fontId="16" fillId="0" borderId="0" xfId="0" applyFont="1" applyFill="1" applyAlignment="1">
      <alignment vertical="top"/>
    </xf>
    <xf numFmtId="164" fontId="15" fillId="0" borderId="0" xfId="2" applyFont="1" applyAlignment="1">
      <alignment vertical="top"/>
    </xf>
    <xf numFmtId="164" fontId="15" fillId="0" borderId="0" xfId="2" applyFont="1" applyAlignment="1">
      <alignment vertical="center"/>
    </xf>
    <xf numFmtId="164" fontId="19" fillId="0" borderId="0" xfId="2" applyFont="1" applyAlignment="1">
      <alignment vertical="center"/>
    </xf>
    <xf numFmtId="164" fontId="16" fillId="0" borderId="0" xfId="2" applyFont="1" applyAlignment="1">
      <alignment vertical="center"/>
    </xf>
    <xf numFmtId="168" fontId="20" fillId="0" borderId="0" xfId="2" applyNumberFormat="1" applyFont="1" applyAlignment="1">
      <alignment horizontal="right"/>
    </xf>
    <xf numFmtId="164" fontId="20" fillId="0" borderId="0" xfId="2" applyFont="1" applyAlignment="1">
      <alignment horizontal="right"/>
    </xf>
    <xf numFmtId="164" fontId="21" fillId="0" borderId="0" xfId="2" applyFont="1" applyAlignment="1">
      <alignment horizontal="right"/>
    </xf>
    <xf numFmtId="167" fontId="20" fillId="7" borderId="0" xfId="2" applyNumberFormat="1" applyFont="1" applyFill="1" applyAlignment="1">
      <alignment horizontal="right"/>
    </xf>
    <xf numFmtId="168" fontId="16" fillId="0" borderId="0" xfId="2" applyNumberFormat="1" applyFont="1" applyAlignment="1"/>
    <xf numFmtId="164" fontId="16" fillId="0" borderId="0" xfId="2" applyFont="1" applyAlignment="1"/>
    <xf numFmtId="164" fontId="16" fillId="0" borderId="0" xfId="2" applyFont="1" applyAlignment="1">
      <alignment horizontal="right"/>
    </xf>
    <xf numFmtId="164" fontId="16" fillId="7" borderId="0" xfId="2" applyFont="1" applyFill="1" applyAlignment="1"/>
    <xf numFmtId="164" fontId="16" fillId="7" borderId="0" xfId="2" applyFont="1" applyFill="1" applyAlignment="1">
      <alignment vertical="top"/>
    </xf>
    <xf numFmtId="164" fontId="15" fillId="7" borderId="0" xfId="2" applyFont="1" applyFill="1" applyAlignment="1">
      <alignment horizontal="center"/>
    </xf>
    <xf numFmtId="164" fontId="22" fillId="0" borderId="0" xfId="2" applyFont="1" applyAlignment="1">
      <alignment vertical="center"/>
    </xf>
    <xf numFmtId="168" fontId="23" fillId="0" borderId="0" xfId="2" applyNumberFormat="1" applyFont="1" applyAlignment="1">
      <alignment vertical="center"/>
    </xf>
    <xf numFmtId="49" fontId="23" fillId="0" borderId="0" xfId="2" applyNumberFormat="1" applyFont="1" applyAlignment="1">
      <alignment vertical="center" wrapText="1"/>
    </xf>
    <xf numFmtId="164" fontId="23" fillId="0" borderId="0" xfId="2" applyFont="1" applyAlignment="1">
      <alignment vertical="center"/>
    </xf>
    <xf numFmtId="0" fontId="24" fillId="0" borderId="0" xfId="0" applyFont="1" applyFill="1" applyAlignment="1">
      <alignment vertical="center"/>
    </xf>
    <xf numFmtId="168" fontId="25" fillId="0" borderId="0" xfId="2" applyNumberFormat="1" applyFont="1" applyAlignment="1">
      <alignment vertical="center"/>
    </xf>
    <xf numFmtId="49" fontId="25" fillId="0" borderId="0" xfId="2" applyNumberFormat="1" applyFont="1" applyAlignment="1">
      <alignment vertical="center" wrapText="1"/>
    </xf>
    <xf numFmtId="164" fontId="25" fillId="0" borderId="0" xfId="2" applyFont="1" applyAlignment="1">
      <alignment vertical="center"/>
    </xf>
    <xf numFmtId="168" fontId="22" fillId="0" borderId="0" xfId="2" applyNumberFormat="1" applyFont="1" applyAlignment="1">
      <alignment vertical="center"/>
    </xf>
    <xf numFmtId="49" fontId="22" fillId="0" borderId="0" xfId="2" applyNumberFormat="1" applyFont="1" applyAlignment="1">
      <alignment vertical="center" wrapText="1"/>
    </xf>
    <xf numFmtId="164" fontId="22" fillId="0" borderId="0" xfId="2" applyFont="1" applyFill="1" applyAlignment="1">
      <alignment vertical="center"/>
    </xf>
    <xf numFmtId="168" fontId="24" fillId="0" borderId="0" xfId="2" applyNumberFormat="1" applyFont="1" applyAlignment="1">
      <alignment vertical="center"/>
    </xf>
    <xf numFmtId="49" fontId="24" fillId="0" borderId="0" xfId="2" applyNumberFormat="1" applyFont="1" applyAlignment="1">
      <alignment vertical="center" wrapText="1"/>
    </xf>
    <xf numFmtId="164" fontId="24" fillId="0" borderId="0" xfId="2" applyFont="1" applyAlignment="1">
      <alignment vertical="center"/>
    </xf>
    <xf numFmtId="167" fontId="24" fillId="7" borderId="0" xfId="2" applyNumberFormat="1" applyFont="1" applyFill="1" applyAlignment="1">
      <alignment vertical="center"/>
    </xf>
    <xf numFmtId="167" fontId="22" fillId="7" borderId="0" xfId="2" applyNumberFormat="1" applyFont="1" applyFill="1" applyAlignment="1">
      <alignment vertical="center"/>
    </xf>
    <xf numFmtId="168" fontId="23" fillId="0" borderId="0" xfId="2" applyNumberFormat="1" applyFont="1" applyFill="1" applyAlignment="1">
      <alignment vertical="center"/>
    </xf>
    <xf numFmtId="49" fontId="23" fillId="0" borderId="0" xfId="2" applyNumberFormat="1" applyFont="1" applyFill="1" applyAlignment="1">
      <alignment vertical="center" wrapText="1"/>
    </xf>
    <xf numFmtId="164" fontId="23" fillId="0" borderId="0" xfId="2" applyFont="1" applyFill="1" applyAlignment="1">
      <alignment vertical="center"/>
    </xf>
    <xf numFmtId="168" fontId="25" fillId="0" borderId="0" xfId="2" applyNumberFormat="1" applyFont="1" applyFill="1" applyAlignment="1">
      <alignment vertical="center"/>
    </xf>
    <xf numFmtId="49" fontId="25" fillId="0" borderId="0" xfId="2" applyNumberFormat="1" applyFont="1" applyFill="1" applyAlignment="1">
      <alignment vertical="center" wrapText="1"/>
    </xf>
    <xf numFmtId="164" fontId="25" fillId="0" borderId="0" xfId="2" applyFont="1" applyFill="1" applyAlignment="1">
      <alignment vertical="center"/>
    </xf>
    <xf numFmtId="168" fontId="22" fillId="0" borderId="0" xfId="2" applyNumberFormat="1" applyFont="1" applyFill="1" applyAlignment="1">
      <alignment vertical="center"/>
    </xf>
    <xf numFmtId="49" fontId="22" fillId="0" borderId="0" xfId="2" applyNumberFormat="1" applyFont="1" applyFill="1" applyAlignment="1">
      <alignment vertical="center" wrapText="1"/>
    </xf>
    <xf numFmtId="168" fontId="25" fillId="0" borderId="0" xfId="2" quotePrefix="1" applyNumberFormat="1" applyFont="1" applyAlignment="1">
      <alignment vertical="center"/>
    </xf>
    <xf numFmtId="168" fontId="25" fillId="0" borderId="0" xfId="2" quotePrefix="1" applyNumberFormat="1" applyFont="1" applyFill="1" applyAlignment="1">
      <alignment vertical="center"/>
    </xf>
    <xf numFmtId="0" fontId="16" fillId="0" borderId="0" xfId="0" applyNumberFormat="1" applyFont="1" applyAlignment="1">
      <alignment horizontal="centerContinuous"/>
    </xf>
    <xf numFmtId="0" fontId="17" fillId="0" borderId="0" xfId="0" applyFont="1"/>
    <xf numFmtId="164" fontId="16" fillId="0" borderId="0" xfId="2" applyNumberFormat="1" applyFont="1"/>
    <xf numFmtId="0" fontId="26" fillId="0" borderId="0" xfId="0" applyFont="1" applyAlignment="1">
      <alignment horizontal="center"/>
    </xf>
    <xf numFmtId="0" fontId="26" fillId="0" borderId="0" xfId="0" applyNumberFormat="1" applyFont="1" applyAlignment="1">
      <alignment horizontal="center"/>
    </xf>
    <xf numFmtId="164" fontId="26" fillId="0" borderId="0" xfId="2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4" fontId="15" fillId="0" borderId="0" xfId="2" applyFont="1"/>
    <xf numFmtId="0" fontId="16" fillId="0" borderId="0" xfId="0" applyFont="1" applyAlignment="1">
      <alignment horizontal="right" vertical="top"/>
    </xf>
    <xf numFmtId="0" fontId="15" fillId="0" borderId="0" xfId="0" applyNumberFormat="1" applyFont="1" applyAlignment="1">
      <alignment horizontal="centerContinuous"/>
    </xf>
    <xf numFmtId="170" fontId="15" fillId="0" borderId="0" xfId="0" applyNumberFormat="1" applyFont="1" applyAlignment="1">
      <alignment horizontal="centerContinuous"/>
    </xf>
    <xf numFmtId="0" fontId="15" fillId="0" borderId="0" xfId="0" applyNumberFormat="1" applyFont="1" applyAlignment="1">
      <alignment horizontal="left"/>
    </xf>
    <xf numFmtId="0" fontId="16" fillId="0" borderId="0" xfId="2" applyNumberFormat="1" applyFont="1" applyAlignment="1">
      <alignment horizontal="centerContinuous"/>
    </xf>
    <xf numFmtId="0" fontId="15" fillId="0" borderId="0" xfId="2" applyNumberFormat="1" applyFont="1" applyAlignment="1">
      <alignment horizontal="centerContinuous"/>
    </xf>
    <xf numFmtId="0" fontId="16" fillId="0" borderId="0" xfId="2" applyNumberFormat="1" applyFont="1"/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0" fontId="24" fillId="0" borderId="0" xfId="0" applyFont="1"/>
    <xf numFmtId="164" fontId="22" fillId="0" borderId="0" xfId="2" applyNumberFormat="1" applyFont="1"/>
    <xf numFmtId="164" fontId="22" fillId="0" borderId="0" xfId="0" applyNumberFormat="1" applyFont="1"/>
    <xf numFmtId="0" fontId="24" fillId="0" borderId="0" xfId="0" applyNumberFormat="1" applyFont="1" applyAlignment="1">
      <alignment horizontal="center"/>
    </xf>
    <xf numFmtId="165" fontId="24" fillId="0" borderId="0" xfId="0" applyNumberFormat="1" applyFont="1"/>
    <xf numFmtId="164" fontId="24" fillId="0" borderId="0" xfId="2" applyNumberFormat="1" applyFont="1"/>
    <xf numFmtId="164" fontId="24" fillId="0" borderId="0" xfId="0" applyNumberFormat="1" applyFont="1"/>
    <xf numFmtId="0" fontId="24" fillId="0" borderId="0" xfId="0" applyNumberFormat="1" applyFont="1"/>
    <xf numFmtId="49" fontId="22" fillId="0" borderId="0" xfId="0" applyNumberFormat="1" applyFont="1"/>
    <xf numFmtId="168" fontId="27" fillId="0" borderId="0" xfId="2" applyNumberFormat="1" applyFont="1" applyAlignment="1">
      <alignment vertical="center"/>
    </xf>
    <xf numFmtId="49" fontId="27" fillId="0" borderId="0" xfId="2" applyNumberFormat="1" applyFont="1" applyAlignment="1">
      <alignment vertical="center" wrapText="1"/>
    </xf>
    <xf numFmtId="164" fontId="27" fillId="0" borderId="0" xfId="2" applyFont="1" applyAlignment="1">
      <alignment vertical="center"/>
    </xf>
    <xf numFmtId="167" fontId="27" fillId="7" borderId="0" xfId="2" applyNumberFormat="1" applyFont="1" applyFill="1" applyAlignment="1">
      <alignment vertical="center"/>
    </xf>
    <xf numFmtId="164" fontId="28" fillId="0" borderId="0" xfId="2" applyFont="1" applyAlignment="1">
      <alignment vertical="center"/>
    </xf>
    <xf numFmtId="164" fontId="29" fillId="0" borderId="0" xfId="2" applyFont="1" applyAlignment="1">
      <alignment vertical="center"/>
    </xf>
    <xf numFmtId="167" fontId="29" fillId="7" borderId="0" xfId="2" applyNumberFormat="1" applyFont="1" applyFill="1" applyAlignment="1">
      <alignment vertical="center"/>
    </xf>
    <xf numFmtId="168" fontId="30" fillId="0" borderId="0" xfId="2" applyNumberFormat="1" applyFont="1" applyAlignment="1">
      <alignment vertical="center"/>
    </xf>
    <xf numFmtId="49" fontId="30" fillId="0" borderId="0" xfId="2" applyNumberFormat="1" applyFont="1" applyAlignment="1">
      <alignment vertical="center" wrapText="1"/>
    </xf>
    <xf numFmtId="164" fontId="30" fillId="0" borderId="0" xfId="2" applyFont="1" applyAlignment="1">
      <alignment vertical="center"/>
    </xf>
    <xf numFmtId="167" fontId="30" fillId="7" borderId="0" xfId="2" applyNumberFormat="1" applyFont="1" applyFill="1" applyAlignment="1">
      <alignment vertical="center"/>
    </xf>
    <xf numFmtId="164" fontId="31" fillId="0" borderId="0" xfId="2" applyFont="1" applyAlignment="1">
      <alignment vertical="center"/>
    </xf>
    <xf numFmtId="167" fontId="32" fillId="7" borderId="0" xfId="2" applyNumberFormat="1" applyFont="1" applyFill="1" applyAlignment="1">
      <alignment vertical="center"/>
    </xf>
    <xf numFmtId="164" fontId="33" fillId="0" borderId="0" xfId="2" applyFont="1" applyBorder="1" applyAlignment="1" applyProtection="1">
      <alignment vertical="top"/>
    </xf>
    <xf numFmtId="164" fontId="33" fillId="11" borderId="0" xfId="2" applyFont="1" applyFill="1" applyBorder="1" applyAlignment="1" applyProtection="1">
      <alignment vertical="top"/>
    </xf>
    <xf numFmtId="164" fontId="33" fillId="0" borderId="0" xfId="2" applyFont="1" applyBorder="1" applyAlignment="1" applyProtection="1">
      <alignment horizontal="right" vertical="top"/>
    </xf>
    <xf numFmtId="10" fontId="33" fillId="0" borderId="0" xfId="1" applyNumberFormat="1" applyFont="1" applyBorder="1" applyAlignment="1" applyProtection="1">
      <alignment vertical="top"/>
    </xf>
    <xf numFmtId="164" fontId="16" fillId="0" borderId="0" xfId="2" applyFont="1" applyAlignment="1">
      <alignment horizontal="center" vertical="top"/>
    </xf>
    <xf numFmtId="43" fontId="2" fillId="0" borderId="0" xfId="0" applyNumberFormat="1" applyFont="1" applyAlignment="1">
      <alignment vertical="center"/>
    </xf>
    <xf numFmtId="0" fontId="15" fillId="0" borderId="0" xfId="2" applyNumberFormat="1" applyFont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eterna"/>
                <a:ea typeface="eterna"/>
                <a:cs typeface="eterna"/>
              </a:defRPr>
            </a:pPr>
            <a:r>
              <a:rPr lang="pt-BR"/>
              <a:t>PREVISÃO DO FATURAMENTO POR PERÍODO DE MEDIÇÃO</a:t>
            </a:r>
          </a:p>
        </c:rich>
      </c:tx>
      <c:layout>
        <c:manualLayout>
          <c:xMode val="edge"/>
          <c:yMode val="edge"/>
          <c:x val="0.21663442940038685"/>
          <c:y val="1.0687022900763359E-2"/>
        </c:manualLayout>
      </c:layout>
      <c:overlay val="0"/>
      <c:spPr>
        <a:solidFill>
          <a:srgbClr val="FFFF0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23017408123788E-2"/>
          <c:y val="0.11908396946564885"/>
          <c:w val="0.91102514506769827"/>
          <c:h val="0.798473282442748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Financeiro!$C$37:$Z$37</c:f>
              <c:numCache>
                <c:formatCode>General</c:formatCode>
                <c:ptCount val="6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</c:numCache>
            </c:numRef>
          </c:cat>
          <c:val>
            <c:numRef>
              <c:f>Financeiro!$C$38:$Z$38</c:f>
              <c:numCache>
                <c:formatCode>_(* #,##0.00_);_(* \(#,##0.00\);_(* "-"??_);_(@_)</c:formatCode>
                <c:ptCount val="6"/>
                <c:pt idx="0">
                  <c:v>362087.58000000007</c:v>
                </c:pt>
                <c:pt idx="1">
                  <c:v>362087.58000000007</c:v>
                </c:pt>
                <c:pt idx="2">
                  <c:v>362087.58000000007</c:v>
                </c:pt>
                <c:pt idx="3">
                  <c:v>362087.58000000007</c:v>
                </c:pt>
                <c:pt idx="4">
                  <c:v>362087.58000000007</c:v>
                </c:pt>
                <c:pt idx="5">
                  <c:v>370812.58999999997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2-4C46-949F-0CD5F2266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3984"/>
        <c:axId val="1"/>
      </c:barChart>
      <c:catAx>
        <c:axId val="6797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eterna"/>
                    <a:ea typeface="eterna"/>
                    <a:cs typeface="eterna"/>
                  </a:defRPr>
                </a:pPr>
                <a:r>
                  <a:rPr lang="pt-BR"/>
                  <a:t>PERÍODO DE MEDIÇÃO EM DIAS CORRIDOS</a:t>
                </a:r>
              </a:p>
            </c:rich>
          </c:tx>
          <c:layout>
            <c:manualLayout>
              <c:xMode val="edge"/>
              <c:yMode val="edge"/>
              <c:x val="0.38588007736943908"/>
              <c:y val="0.95419847328244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eterna"/>
                <a:ea typeface="eterna"/>
                <a:cs typeface="eterna"/>
              </a:defRPr>
            </a:pPr>
            <a:endParaRPr lang="pt-BR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eterna"/>
                    <a:ea typeface="eterna"/>
                    <a:cs typeface="eterna"/>
                  </a:defRPr>
                </a:pPr>
                <a:r>
                  <a:rPr lang="pt-BR"/>
                  <a:t>VALORES EM R$</a:t>
                </a:r>
              </a:p>
            </c:rich>
          </c:tx>
          <c:layout>
            <c:manualLayout>
              <c:xMode val="edge"/>
              <c:yMode val="edge"/>
              <c:x val="1.4506769825918761E-2"/>
              <c:y val="0.444274809160305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eterna"/>
                <a:ea typeface="eterna"/>
                <a:cs typeface="eterna"/>
              </a:defRPr>
            </a:pPr>
            <a:endParaRPr lang="pt-BR"/>
          </a:p>
        </c:txPr>
        <c:crossAx val="67973984"/>
        <c:crosses val="autoZero"/>
        <c:crossBetween val="between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Eterna"/>
                <a:ea typeface="Eterna"/>
                <a:cs typeface="Eterna"/>
              </a:defRPr>
            </a:pPr>
            <a:r>
              <a:rPr lang="pt-BR"/>
              <a:t>PREVISÃO DO FATURAMENTO ACUMULADO</a:t>
            </a:r>
          </a:p>
        </c:rich>
      </c:tx>
      <c:layout>
        <c:manualLayout>
          <c:xMode val="edge"/>
          <c:yMode val="edge"/>
          <c:x val="0.29206963249516443"/>
          <c:y val="1.984732824427481E-2"/>
        </c:manualLayout>
      </c:layout>
      <c:overlay val="0"/>
      <c:spPr>
        <a:solidFill>
          <a:srgbClr val="FFFF0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323017408123788E-2"/>
          <c:y val="0.17557251908396945"/>
          <c:w val="0.92456479690522242"/>
          <c:h val="0.7435114503816794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Financeiro!$C$39:$Z$39</c:f>
              <c:numCache>
                <c:formatCode>_(* #,##0_);_(* \(#,##0\);_(* "-"??_);_(@_)</c:formatCode>
                <c:ptCount val="6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</c:numCache>
            </c:numRef>
          </c:cat>
          <c:val>
            <c:numRef>
              <c:f>Financeiro!$C$40:$Z$40</c:f>
              <c:numCache>
                <c:formatCode>_(* #,##0.00_);_(* \(#,##0.00\);_(* "-"??_);_(@_)</c:formatCode>
                <c:ptCount val="6"/>
                <c:pt idx="0">
                  <c:v>362087.58000000007</c:v>
                </c:pt>
                <c:pt idx="1">
                  <c:v>724175.16000000015</c:v>
                </c:pt>
                <c:pt idx="2">
                  <c:v>1086262.7400000002</c:v>
                </c:pt>
                <c:pt idx="3">
                  <c:v>1448350.3200000003</c:v>
                </c:pt>
                <c:pt idx="4">
                  <c:v>1810437.9000000004</c:v>
                </c:pt>
                <c:pt idx="5">
                  <c:v>2181250.4900000002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0-47E6-B8C4-D99327AC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74816"/>
        <c:axId val="1"/>
      </c:lineChart>
      <c:catAx>
        <c:axId val="6797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eterna"/>
                    <a:ea typeface="eterna"/>
                    <a:cs typeface="eterna"/>
                  </a:defRPr>
                </a:pPr>
                <a:r>
                  <a:rPr lang="pt-BR"/>
                  <a:t>PERÍODO DE MEDIÇÃO EM DIAS CORRIDOS</a:t>
                </a:r>
              </a:p>
            </c:rich>
          </c:tx>
          <c:layout>
            <c:manualLayout>
              <c:xMode val="edge"/>
              <c:yMode val="edge"/>
              <c:x val="0.39264990328820115"/>
              <c:y val="0.9557251908396946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eterna"/>
                <a:ea typeface="eterna"/>
                <a:cs typeface="eterna"/>
              </a:defRPr>
            </a:pPr>
            <a:endParaRPr lang="pt-BR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eterna"/>
                    <a:ea typeface="eterna"/>
                    <a:cs typeface="eterna"/>
                  </a:defRPr>
                </a:pPr>
                <a:r>
                  <a:rPr lang="pt-BR"/>
                  <a:t>VALORES EM R$</a:t>
                </a:r>
              </a:p>
            </c:rich>
          </c:tx>
          <c:layout>
            <c:manualLayout>
              <c:xMode val="edge"/>
              <c:yMode val="edge"/>
              <c:x val="1.4506769825918761E-2"/>
              <c:y val="0.473282442748091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;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eterna"/>
                <a:ea typeface="eterna"/>
                <a:cs typeface="eterna"/>
              </a:defRPr>
            </a:pPr>
            <a:endParaRPr lang="pt-BR"/>
          </a:p>
        </c:txPr>
        <c:crossAx val="67974816"/>
        <c:crosses val="autoZero"/>
        <c:crossBetween val="midCat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Gráf1"/>
  <sheetViews>
    <sheetView workbookViewId="0"/>
  </sheetViews>
  <pageMargins left="0.39370078740157483" right="0.39370078740157483" top="0.59055118110236227" bottom="0.70866141732283472" header="0.51181102362204722" footer="0.19685039370078741"/>
  <pageSetup paperSize="9" orientation="landscape" horizontalDpi="300" verticalDpi="300" r:id="rId1"/>
  <headerFooter alignWithMargins="0">
    <oddFooter>&amp;L&amp;"Eterna,Italic"&amp;7Departamento de Custos e Obras
Divisão de Custos e Orçamenntos
&amp;F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Gráf2"/>
  <sheetViews>
    <sheetView workbookViewId="0"/>
  </sheetViews>
  <pageMargins left="0.39370078740157483" right="0.39370078740157483" top="0.59055118110236227" bottom="0.70866141732283472" header="0.51181102362204722" footer="0.19685039370078741"/>
  <pageSetup paperSize="9" orientation="landscape" horizontalDpi="300" verticalDpi="300" r:id="rId1"/>
  <headerFooter alignWithMargins="0">
    <oddFooter>&amp;L&amp;"Eterna,Italic"&amp;7Departamento de Custos e Obras
Divisão de Custos e Orçamenntos
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2</xdr:col>
      <xdr:colOff>371475</xdr:colOff>
      <xdr:row>0</xdr:row>
      <xdr:rowOff>438150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E868AA4-DA1B-4203-AB55-F4F13364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66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1019175</xdr:colOff>
      <xdr:row>0</xdr:row>
      <xdr:rowOff>438150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ED14F87C-66F7-4832-BDB8-FDA3882E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66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2674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52BE99-D606-4E14-A6EA-31811C00B5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0.06975</cdr:y>
    </cdr:from>
    <cdr:to>
      <cdr:x>0.77575</cdr:x>
      <cdr:y>0.10175</cdr:y>
    </cdr:to>
    <cdr:sp macro="" textlink="Planilha!$A$3">
      <cdr:nvSpPr>
        <cdr:cNvPr id="1025" name="Texto 1">
          <a:extLst xmlns:a="http://schemas.openxmlformats.org/drawingml/2006/main">
            <a:ext uri="{FF2B5EF4-FFF2-40B4-BE49-F238E27FC236}">
              <a16:creationId xmlns:a16="http://schemas.microsoft.com/office/drawing/2014/main" id="{F47D8A24-8658-43D4-9F34-36971EE99B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162"/>
          <a:ext cx="7640245" cy="199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42AF4A0-D855-4B5C-A445-F2D1940A98D4}" type="TxLink">
            <a:rPr lang="pt-BR" sz="1000" b="1" i="1" u="none" strike="noStrike" baseline="0">
              <a:solidFill>
                <a:srgbClr val="000000"/>
              </a:solidFill>
              <a:latin typeface="ETERNA"/>
            </a:rPr>
            <a:pPr algn="ctr" rtl="0">
              <a:defRPr sz="1000"/>
            </a:pPr>
            <a:t>EXECUÇÃO DE SERVIÇOS TÉCNICOS DE APOIO NA EXPANSÃO DE SISTEMAS DE ÁGUA E ESGOTO DA UNBSC</a:t>
          </a:fld>
          <a:endParaRPr lang="pt-BR" sz="1000" b="1" i="1" u="none" strike="noStrike" baseline="0">
            <a:solidFill>
              <a:srgbClr val="000000"/>
            </a:solidFill>
            <a:latin typeface="ETER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2674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F7A3C2-9615-4664-B248-514BE430F2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0.09625</cdr:y>
    </cdr:from>
    <cdr:to>
      <cdr:x>0.77575</cdr:x>
      <cdr:y>0.12825</cdr:y>
    </cdr:to>
    <cdr:sp macro="" textlink="Planilha!$A$3">
      <cdr:nvSpPr>
        <cdr:cNvPr id="2049" name="Texto 1">
          <a:extLst xmlns:a="http://schemas.openxmlformats.org/drawingml/2006/main">
            <a:ext uri="{FF2B5EF4-FFF2-40B4-BE49-F238E27FC236}">
              <a16:creationId xmlns:a16="http://schemas.microsoft.com/office/drawing/2014/main" id="{5C2ABDBF-B934-4606-A65C-90B1F5B9D42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00492"/>
          <a:ext cx="7640245" cy="199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2EE45368-7762-4D56-A74E-7876BD399445}" type="TxLink">
            <a:rPr lang="pt-BR" sz="1000" b="1" i="1" u="none" strike="noStrike" baseline="0">
              <a:solidFill>
                <a:srgbClr val="000000"/>
              </a:solidFill>
              <a:latin typeface="ETERNA"/>
            </a:rPr>
            <a:pPr algn="ctr" rtl="0">
              <a:defRPr sz="1000"/>
            </a:pPr>
            <a:t>EXECUÇÃO DE SERVIÇOS TÉCNICOS DE APOIO NA EXPANSÃO DE SISTEMAS DE ÁGUA E ESGOTO DA UNBSC</a:t>
          </a:fld>
          <a:endParaRPr lang="pt-BR" sz="1000" b="1" i="1" u="none" strike="noStrike" baseline="0">
            <a:solidFill>
              <a:srgbClr val="000000"/>
            </a:solidFill>
            <a:latin typeface="ETERN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ca\Orca_CAG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definedNames>
      <definedName name="Extens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1742"/>
  <sheetViews>
    <sheetView showGridLines="0" tabSelected="1" view="pageBreakPreview" zoomScaleNormal="100" zoomScaleSheetLayoutView="100" workbookViewId="0"/>
  </sheetViews>
  <sheetFormatPr defaultColWidth="11.42578125" defaultRowHeight="12.75"/>
  <cols>
    <col min="1" max="1" width="11.5703125" style="54" customWidth="1"/>
    <col min="2" max="2" width="9.5703125" style="58" customWidth="1"/>
    <col min="3" max="3" width="62.28515625" style="54" customWidth="1"/>
    <col min="4" max="4" width="10.85546875" style="54" customWidth="1"/>
    <col min="5" max="5" width="15.140625" style="54" customWidth="1"/>
    <col min="6" max="6" width="16.85546875" style="54" customWidth="1"/>
    <col min="7" max="7" width="20.28515625" style="54" customWidth="1"/>
    <col min="8" max="8" width="15" style="80" bestFit="1" customWidth="1"/>
    <col min="9" max="16384" width="11.42578125" style="54"/>
  </cols>
  <sheetData>
    <row r="1" spans="1:8" ht="47.25" customHeight="1">
      <c r="A1" s="49" t="s">
        <v>867</v>
      </c>
      <c r="B1" s="50"/>
      <c r="C1" s="51"/>
      <c r="D1" s="52"/>
      <c r="E1" s="52"/>
      <c r="F1" s="52"/>
      <c r="G1" s="52" t="s">
        <v>1200</v>
      </c>
      <c r="H1" s="81" t="s">
        <v>0</v>
      </c>
    </row>
    <row r="2" spans="1:8" ht="31.5" customHeight="1">
      <c r="A2" s="154" t="s">
        <v>868</v>
      </c>
      <c r="B2" s="154"/>
      <c r="C2" s="154"/>
      <c r="D2" s="154"/>
      <c r="E2" s="152"/>
      <c r="F2" s="152"/>
      <c r="G2" s="152"/>
      <c r="H2" s="55">
        <v>0</v>
      </c>
    </row>
    <row r="3" spans="1:8" ht="15.95" customHeight="1">
      <c r="A3" s="56" t="s">
        <v>866</v>
      </c>
      <c r="B3" s="57"/>
      <c r="C3" s="52"/>
      <c r="D3" s="52"/>
      <c r="E3" s="52"/>
      <c r="F3" s="52"/>
      <c r="G3" s="52"/>
      <c r="H3" s="53" t="s">
        <v>1</v>
      </c>
    </row>
    <row r="4" spans="1:8" ht="15.95" customHeight="1">
      <c r="A4" s="58"/>
      <c r="B4" s="57"/>
      <c r="F4" s="59"/>
      <c r="G4" s="60" t="s">
        <v>865</v>
      </c>
      <c r="H4" s="61" t="s">
        <v>864</v>
      </c>
    </row>
    <row r="5" spans="1:8" ht="15.95" customHeight="1">
      <c r="A5" s="56" t="s">
        <v>2</v>
      </c>
      <c r="B5" s="57"/>
      <c r="C5" s="52"/>
      <c r="D5" s="52"/>
      <c r="E5" s="52"/>
      <c r="F5" s="52"/>
      <c r="G5" s="52"/>
      <c r="H5" s="62"/>
    </row>
    <row r="6" spans="1:8" ht="15.95" customHeight="1">
      <c r="A6" s="58"/>
      <c r="B6" s="57"/>
      <c r="H6" s="62"/>
    </row>
    <row r="7" spans="1:8" s="68" customFormat="1" ht="15.95" customHeight="1">
      <c r="A7" s="63" t="s">
        <v>3</v>
      </c>
      <c r="B7" s="63" t="s">
        <v>4</v>
      </c>
      <c r="C7" s="64" t="s">
        <v>5</v>
      </c>
      <c r="D7" s="65" t="s">
        <v>6</v>
      </c>
      <c r="E7" s="66" t="s">
        <v>7</v>
      </c>
      <c r="F7" s="66" t="s">
        <v>8</v>
      </c>
      <c r="G7" s="66" t="s">
        <v>9</v>
      </c>
      <c r="H7" s="67"/>
    </row>
    <row r="8" spans="1:8" s="69" customFormat="1" ht="15.95" hidden="1" customHeight="1">
      <c r="A8" s="82"/>
      <c r="B8" s="83"/>
      <c r="C8" s="84" t="s">
        <v>10</v>
      </c>
      <c r="D8" s="85"/>
      <c r="E8" s="85"/>
      <c r="F8" s="85"/>
      <c r="G8" s="85"/>
      <c r="H8" s="86"/>
    </row>
    <row r="9" spans="1:8" s="69" customFormat="1" ht="15.95" customHeight="1">
      <c r="A9" s="87" t="s">
        <v>11</v>
      </c>
      <c r="B9" s="87" t="s">
        <v>11</v>
      </c>
      <c r="C9" s="88" t="s">
        <v>869</v>
      </c>
      <c r="D9" s="89"/>
      <c r="E9" s="89"/>
      <c r="F9" s="89"/>
      <c r="G9" s="89">
        <f>SG_01_01+SG_01_02+SG_01_03+SG_01_04+SG_01_05+SG_01_06+SG_01_07+SG_01_08+SG_01_09+SG_01_10+SG_01_11+SG_01_12+SG_01_13+SG_01_14+SG_01_15+SG_01_16+SG_01_17+SG_01_18+SG_01_19+SG_01_20</f>
        <v>326772.94999999995</v>
      </c>
      <c r="H9" s="86"/>
    </row>
    <row r="10" spans="1:8" s="69" customFormat="1" ht="15.95" customHeight="1">
      <c r="A10" s="90" t="s">
        <v>12</v>
      </c>
      <c r="B10" s="90" t="s">
        <v>12</v>
      </c>
      <c r="C10" s="91" t="s">
        <v>870</v>
      </c>
      <c r="D10" s="82"/>
      <c r="E10" s="82"/>
      <c r="F10" s="82"/>
      <c r="G10" s="82">
        <f>SUM(G11:G13)</f>
        <v>24038.91</v>
      </c>
      <c r="H10" s="92" t="s">
        <v>862</v>
      </c>
    </row>
    <row r="11" spans="1:8" s="139" customFormat="1" ht="15.95" customHeight="1">
      <c r="A11" s="135" t="s">
        <v>871</v>
      </c>
      <c r="B11" s="135" t="s">
        <v>872</v>
      </c>
      <c r="C11" s="136" t="s">
        <v>873</v>
      </c>
      <c r="D11" s="137" t="s">
        <v>874</v>
      </c>
      <c r="E11" s="137">
        <v>1449</v>
      </c>
      <c r="F11" s="137">
        <f>ROUND(FATOR*H11,2)</f>
        <v>16.59</v>
      </c>
      <c r="G11" s="137">
        <f>ROUND(E11*F11,2)</f>
        <v>24038.91</v>
      </c>
      <c r="H11" s="138">
        <v>16.59</v>
      </c>
    </row>
    <row r="12" spans="1:8" s="69" customFormat="1" ht="15.95" hidden="1" customHeight="1">
      <c r="A12" s="93"/>
      <c r="B12" s="93"/>
      <c r="C12" s="94"/>
      <c r="D12" s="95"/>
      <c r="E12" s="95"/>
      <c r="F12" s="95"/>
      <c r="G12" s="95">
        <f>ROUND(E12*F12,2)</f>
        <v>0</v>
      </c>
      <c r="H12" s="96">
        <v>0</v>
      </c>
    </row>
    <row r="13" spans="1:8" s="69" customFormat="1" ht="15.95" hidden="1" customHeight="1">
      <c r="A13" s="93"/>
      <c r="B13" s="93"/>
      <c r="C13" s="94"/>
      <c r="D13" s="95"/>
      <c r="E13" s="95"/>
      <c r="F13" s="95"/>
      <c r="G13" s="95">
        <f>ROUND(E13*F13,2)</f>
        <v>0</v>
      </c>
      <c r="H13" s="96">
        <v>0</v>
      </c>
    </row>
    <row r="14" spans="1:8" s="69" customFormat="1" ht="15.95" customHeight="1">
      <c r="A14" s="90" t="s">
        <v>13</v>
      </c>
      <c r="B14" s="90" t="s">
        <v>13</v>
      </c>
      <c r="C14" s="91" t="s">
        <v>875</v>
      </c>
      <c r="D14" s="82"/>
      <c r="E14" s="82"/>
      <c r="F14" s="82"/>
      <c r="G14" s="82">
        <f>SUM(G15:G26)</f>
        <v>107912.53</v>
      </c>
      <c r="H14" s="97"/>
    </row>
    <row r="15" spans="1:8" s="139" customFormat="1" ht="15.95" customHeight="1">
      <c r="A15" s="135" t="s">
        <v>876</v>
      </c>
      <c r="B15" s="135" t="s">
        <v>877</v>
      </c>
      <c r="C15" s="136" t="s">
        <v>878</v>
      </c>
      <c r="D15" s="137" t="s">
        <v>879</v>
      </c>
      <c r="E15" s="137">
        <v>260.82</v>
      </c>
      <c r="F15" s="140">
        <f t="shared" ref="F15:F23" si="0">ROUND(FATOR*H15,2)</f>
        <v>53.57</v>
      </c>
      <c r="G15" s="140">
        <f t="shared" ref="G15:G23" si="1">ROUND(E15*F15,2)</f>
        <v>13972.13</v>
      </c>
      <c r="H15" s="141">
        <v>53.57</v>
      </c>
    </row>
    <row r="16" spans="1:8" s="139" customFormat="1" ht="15.95" customHeight="1">
      <c r="A16" s="135" t="s">
        <v>880</v>
      </c>
      <c r="B16" s="135" t="s">
        <v>881</v>
      </c>
      <c r="C16" s="136" t="s">
        <v>882</v>
      </c>
      <c r="D16" s="137" t="s">
        <v>879</v>
      </c>
      <c r="E16" s="137">
        <v>108.68</v>
      </c>
      <c r="F16" s="140">
        <f t="shared" si="0"/>
        <v>70.760000000000005</v>
      </c>
      <c r="G16" s="140">
        <f t="shared" si="1"/>
        <v>7690.2</v>
      </c>
      <c r="H16" s="141">
        <v>70.760000000000005</v>
      </c>
    </row>
    <row r="17" spans="1:8" s="139" customFormat="1" ht="24.95" customHeight="1">
      <c r="A17" s="135" t="s">
        <v>883</v>
      </c>
      <c r="B17" s="135" t="s">
        <v>884</v>
      </c>
      <c r="C17" s="136" t="s">
        <v>885</v>
      </c>
      <c r="D17" s="137" t="s">
        <v>879</v>
      </c>
      <c r="E17" s="137">
        <v>72.45</v>
      </c>
      <c r="F17" s="140">
        <f t="shared" si="0"/>
        <v>291.07</v>
      </c>
      <c r="G17" s="140">
        <f t="shared" si="1"/>
        <v>21088.02</v>
      </c>
      <c r="H17" s="141">
        <v>291.07</v>
      </c>
    </row>
    <row r="18" spans="1:8" s="139" customFormat="1" ht="24.95" customHeight="1">
      <c r="A18" s="135" t="s">
        <v>886</v>
      </c>
      <c r="B18" s="135" t="s">
        <v>887</v>
      </c>
      <c r="C18" s="136" t="s">
        <v>888</v>
      </c>
      <c r="D18" s="137" t="s">
        <v>879</v>
      </c>
      <c r="E18" s="137">
        <v>260.82</v>
      </c>
      <c r="F18" s="140">
        <f t="shared" si="0"/>
        <v>29.28</v>
      </c>
      <c r="G18" s="140">
        <f t="shared" si="1"/>
        <v>7636.81</v>
      </c>
      <c r="H18" s="141">
        <v>29.28</v>
      </c>
    </row>
    <row r="19" spans="1:8" s="139" customFormat="1" ht="24.95" customHeight="1">
      <c r="A19" s="135" t="s">
        <v>889</v>
      </c>
      <c r="B19" s="135" t="s">
        <v>890</v>
      </c>
      <c r="C19" s="136" t="s">
        <v>891</v>
      </c>
      <c r="D19" s="137" t="s">
        <v>879</v>
      </c>
      <c r="E19" s="137">
        <v>260.82</v>
      </c>
      <c r="F19" s="140">
        <f t="shared" si="0"/>
        <v>34.36</v>
      </c>
      <c r="G19" s="140">
        <f t="shared" si="1"/>
        <v>8961.7800000000007</v>
      </c>
      <c r="H19" s="141">
        <v>34.36</v>
      </c>
    </row>
    <row r="20" spans="1:8" s="139" customFormat="1" ht="24.95" customHeight="1">
      <c r="A20" s="135" t="s">
        <v>892</v>
      </c>
      <c r="B20" s="135" t="s">
        <v>893</v>
      </c>
      <c r="C20" s="136" t="s">
        <v>894</v>
      </c>
      <c r="D20" s="137" t="s">
        <v>879</v>
      </c>
      <c r="E20" s="137">
        <v>150.94</v>
      </c>
      <c r="F20" s="140">
        <f t="shared" si="0"/>
        <v>121.42</v>
      </c>
      <c r="G20" s="140">
        <f t="shared" si="1"/>
        <v>18327.13</v>
      </c>
      <c r="H20" s="141">
        <v>121.42</v>
      </c>
    </row>
    <row r="21" spans="1:8" s="139" customFormat="1" ht="15.95" customHeight="1">
      <c r="A21" s="135" t="s">
        <v>895</v>
      </c>
      <c r="B21" s="135" t="s">
        <v>896</v>
      </c>
      <c r="C21" s="136" t="s">
        <v>897</v>
      </c>
      <c r="D21" s="137" t="s">
        <v>879</v>
      </c>
      <c r="E21" s="137">
        <v>65.209999999999994</v>
      </c>
      <c r="F21" s="140">
        <f t="shared" si="0"/>
        <v>23.67</v>
      </c>
      <c r="G21" s="140">
        <f t="shared" si="1"/>
        <v>1543.52</v>
      </c>
      <c r="H21" s="141">
        <v>23.67</v>
      </c>
    </row>
    <row r="22" spans="1:8" s="139" customFormat="1" ht="24.95" customHeight="1">
      <c r="A22" s="135" t="s">
        <v>898</v>
      </c>
      <c r="B22" s="135" t="s">
        <v>899</v>
      </c>
      <c r="C22" s="136" t="s">
        <v>900</v>
      </c>
      <c r="D22" s="137" t="s">
        <v>879</v>
      </c>
      <c r="E22" s="137">
        <v>65.209999999999994</v>
      </c>
      <c r="F22" s="140">
        <f t="shared" si="0"/>
        <v>31.21</v>
      </c>
      <c r="G22" s="140">
        <f t="shared" si="1"/>
        <v>2035.2</v>
      </c>
      <c r="H22" s="141">
        <v>31.21</v>
      </c>
    </row>
    <row r="23" spans="1:8" s="139" customFormat="1" ht="15.95" customHeight="1">
      <c r="A23" s="135" t="s">
        <v>901</v>
      </c>
      <c r="B23" s="135" t="s">
        <v>902</v>
      </c>
      <c r="C23" s="136" t="s">
        <v>903</v>
      </c>
      <c r="D23" s="137" t="s">
        <v>879</v>
      </c>
      <c r="E23" s="137">
        <v>193.2</v>
      </c>
      <c r="F23" s="140">
        <f t="shared" si="0"/>
        <v>137.97999999999999</v>
      </c>
      <c r="G23" s="140">
        <f t="shared" si="1"/>
        <v>26657.74</v>
      </c>
      <c r="H23" s="141">
        <v>137.97999999999999</v>
      </c>
    </row>
    <row r="24" spans="1:8" s="69" customFormat="1" ht="15.95" hidden="1" customHeight="1">
      <c r="A24" s="93"/>
      <c r="B24" s="93"/>
      <c r="C24" s="94"/>
      <c r="D24" s="95"/>
      <c r="E24" s="95"/>
      <c r="F24" s="95"/>
      <c r="G24" s="95">
        <f t="shared" ref="G24:G26" si="2">ROUND(E24*F24,2)</f>
        <v>0</v>
      </c>
      <c r="H24" s="96">
        <v>0</v>
      </c>
    </row>
    <row r="25" spans="1:8" s="69" customFormat="1" ht="15.95" hidden="1" customHeight="1">
      <c r="A25" s="93"/>
      <c r="B25" s="93"/>
      <c r="C25" s="94"/>
      <c r="D25" s="95"/>
      <c r="E25" s="95"/>
      <c r="F25" s="95"/>
      <c r="G25" s="95">
        <f t="shared" si="2"/>
        <v>0</v>
      </c>
      <c r="H25" s="96">
        <v>0</v>
      </c>
    </row>
    <row r="26" spans="1:8" s="69" customFormat="1" ht="15.95" hidden="1" customHeight="1">
      <c r="A26" s="93"/>
      <c r="B26" s="93"/>
      <c r="C26" s="94"/>
      <c r="D26" s="95"/>
      <c r="E26" s="95"/>
      <c r="F26" s="95"/>
      <c r="G26" s="95">
        <f t="shared" si="2"/>
        <v>0</v>
      </c>
      <c r="H26" s="96">
        <v>0</v>
      </c>
    </row>
    <row r="27" spans="1:8" s="69" customFormat="1" ht="15.95" customHeight="1">
      <c r="A27" s="90" t="s">
        <v>14</v>
      </c>
      <c r="B27" s="90" t="s">
        <v>14</v>
      </c>
      <c r="C27" s="91" t="s">
        <v>904</v>
      </c>
      <c r="D27" s="82"/>
      <c r="E27" s="82"/>
      <c r="F27" s="82"/>
      <c r="G27" s="82">
        <f>SUM(G28:G39)</f>
        <v>136162.69000000003</v>
      </c>
      <c r="H27" s="97"/>
    </row>
    <row r="28" spans="1:8" s="139" customFormat="1" ht="24.95" customHeight="1">
      <c r="A28" s="135" t="s">
        <v>905</v>
      </c>
      <c r="B28" s="135" t="s">
        <v>906</v>
      </c>
      <c r="C28" s="136" t="s">
        <v>907</v>
      </c>
      <c r="D28" s="137" t="s">
        <v>908</v>
      </c>
      <c r="E28" s="137">
        <v>402.5</v>
      </c>
      <c r="F28" s="137">
        <f t="shared" ref="F28:F36" si="3">ROUND(FATOR*H28,2)</f>
        <v>12.13</v>
      </c>
      <c r="G28" s="137">
        <f t="shared" ref="G28:G36" si="4">ROUND(E28*F28,2)</f>
        <v>4882.33</v>
      </c>
      <c r="H28" s="138">
        <v>12.13</v>
      </c>
    </row>
    <row r="29" spans="1:8" s="139" customFormat="1" ht="15.95" customHeight="1">
      <c r="A29" s="135" t="s">
        <v>909</v>
      </c>
      <c r="B29" s="135" t="s">
        <v>910</v>
      </c>
      <c r="C29" s="136" t="s">
        <v>911</v>
      </c>
      <c r="D29" s="137" t="s">
        <v>908</v>
      </c>
      <c r="E29" s="137">
        <v>1086.75</v>
      </c>
      <c r="F29" s="137">
        <f t="shared" si="3"/>
        <v>34.71</v>
      </c>
      <c r="G29" s="137">
        <f t="shared" si="4"/>
        <v>37721.089999999997</v>
      </c>
      <c r="H29" s="138">
        <v>34.71</v>
      </c>
    </row>
    <row r="30" spans="1:8" s="139" customFormat="1" ht="15.95" customHeight="1">
      <c r="A30" s="135" t="s">
        <v>912</v>
      </c>
      <c r="B30" s="135" t="s">
        <v>913</v>
      </c>
      <c r="C30" s="136" t="s">
        <v>914</v>
      </c>
      <c r="D30" s="137" t="s">
        <v>879</v>
      </c>
      <c r="E30" s="137">
        <v>65.209999999999994</v>
      </c>
      <c r="F30" s="137">
        <f t="shared" si="3"/>
        <v>28.41</v>
      </c>
      <c r="G30" s="137">
        <f t="shared" si="4"/>
        <v>1852.62</v>
      </c>
      <c r="H30" s="138">
        <v>28.41</v>
      </c>
    </row>
    <row r="31" spans="1:8" s="139" customFormat="1" ht="24.95" customHeight="1">
      <c r="A31" s="135" t="s">
        <v>915</v>
      </c>
      <c r="B31" s="135" t="s">
        <v>921</v>
      </c>
      <c r="C31" s="136" t="s">
        <v>922</v>
      </c>
      <c r="D31" s="137" t="s">
        <v>908</v>
      </c>
      <c r="E31" s="137">
        <v>402.5</v>
      </c>
      <c r="F31" s="137">
        <f t="shared" si="3"/>
        <v>35.33</v>
      </c>
      <c r="G31" s="137">
        <f t="shared" si="4"/>
        <v>14220.33</v>
      </c>
      <c r="H31" s="138">
        <v>35.33</v>
      </c>
    </row>
    <row r="32" spans="1:8" s="139" customFormat="1" ht="24.95" customHeight="1">
      <c r="A32" s="135" t="s">
        <v>916</v>
      </c>
      <c r="B32" s="135" t="s">
        <v>923</v>
      </c>
      <c r="C32" s="136" t="s">
        <v>924</v>
      </c>
      <c r="D32" s="137" t="s">
        <v>908</v>
      </c>
      <c r="E32" s="137">
        <v>1086.75</v>
      </c>
      <c r="F32" s="137">
        <f t="shared" si="3"/>
        <v>62.04</v>
      </c>
      <c r="G32" s="137">
        <f t="shared" si="4"/>
        <v>67421.97</v>
      </c>
      <c r="H32" s="138">
        <v>62.04</v>
      </c>
    </row>
    <row r="33" spans="1:8" s="139" customFormat="1" ht="15.95" customHeight="1">
      <c r="A33" s="135" t="s">
        <v>917</v>
      </c>
      <c r="B33" s="135" t="s">
        <v>925</v>
      </c>
      <c r="C33" s="136" t="s">
        <v>926</v>
      </c>
      <c r="D33" s="137" t="s">
        <v>927</v>
      </c>
      <c r="E33" s="137">
        <v>123.17</v>
      </c>
      <c r="F33" s="137">
        <f t="shared" si="3"/>
        <v>22.53</v>
      </c>
      <c r="G33" s="137">
        <f t="shared" si="4"/>
        <v>2775.02</v>
      </c>
      <c r="H33" s="138">
        <v>22.53</v>
      </c>
    </row>
    <row r="34" spans="1:8" s="139" customFormat="1" ht="24.95" customHeight="1">
      <c r="A34" s="135" t="s">
        <v>918</v>
      </c>
      <c r="B34" s="135" t="s">
        <v>928</v>
      </c>
      <c r="C34" s="136" t="s">
        <v>929</v>
      </c>
      <c r="D34" s="137" t="s">
        <v>908</v>
      </c>
      <c r="E34" s="137">
        <v>57.96</v>
      </c>
      <c r="F34" s="137">
        <f t="shared" si="3"/>
        <v>55.84</v>
      </c>
      <c r="G34" s="137">
        <f t="shared" si="4"/>
        <v>3236.49</v>
      </c>
      <c r="H34" s="138">
        <v>55.84</v>
      </c>
    </row>
    <row r="35" spans="1:8" s="139" customFormat="1" ht="24.95" customHeight="1">
      <c r="A35" s="135" t="s">
        <v>919</v>
      </c>
      <c r="B35" s="135" t="s">
        <v>930</v>
      </c>
      <c r="C35" s="136" t="s">
        <v>931</v>
      </c>
      <c r="D35" s="137" t="s">
        <v>879</v>
      </c>
      <c r="E35" s="137">
        <v>54.34</v>
      </c>
      <c r="F35" s="137">
        <f t="shared" si="3"/>
        <v>37.130000000000003</v>
      </c>
      <c r="G35" s="137">
        <f t="shared" si="4"/>
        <v>2017.64</v>
      </c>
      <c r="H35" s="138">
        <v>37.130000000000003</v>
      </c>
    </row>
    <row r="36" spans="1:8" s="139" customFormat="1" ht="24.95" customHeight="1">
      <c r="A36" s="135" t="s">
        <v>920</v>
      </c>
      <c r="B36" s="135" t="s">
        <v>899</v>
      </c>
      <c r="C36" s="136" t="s">
        <v>900</v>
      </c>
      <c r="D36" s="137" t="s">
        <v>879</v>
      </c>
      <c r="E36" s="137">
        <v>65.209999999999994</v>
      </c>
      <c r="F36" s="137">
        <f t="shared" si="3"/>
        <v>31.21</v>
      </c>
      <c r="G36" s="137">
        <f t="shared" si="4"/>
        <v>2035.2</v>
      </c>
      <c r="H36" s="138">
        <v>31.21</v>
      </c>
    </row>
    <row r="37" spans="1:8" s="69" customFormat="1" ht="15.95" hidden="1" customHeight="1">
      <c r="A37" s="93"/>
      <c r="B37" s="93"/>
      <c r="C37" s="94"/>
      <c r="D37" s="95"/>
      <c r="E37" s="95"/>
      <c r="F37" s="95">
        <f>ROUND(FATOR*(H37*(1+BDI)),2)</f>
        <v>0</v>
      </c>
      <c r="G37" s="95">
        <f t="shared" ref="G37:G39" si="5">ROUND(E37*F37,2)</f>
        <v>0</v>
      </c>
      <c r="H37" s="96">
        <v>0</v>
      </c>
    </row>
    <row r="38" spans="1:8" s="69" customFormat="1" ht="15.95" hidden="1" customHeight="1">
      <c r="A38" s="93"/>
      <c r="B38" s="93"/>
      <c r="C38" s="94"/>
      <c r="D38" s="95"/>
      <c r="E38" s="95"/>
      <c r="F38" s="95">
        <f>ROUND(FATOR*(H38*(1+BDI)),2)</f>
        <v>0</v>
      </c>
      <c r="G38" s="95">
        <f t="shared" si="5"/>
        <v>0</v>
      </c>
      <c r="H38" s="96">
        <v>0</v>
      </c>
    </row>
    <row r="39" spans="1:8" s="69" customFormat="1" ht="15.95" hidden="1" customHeight="1">
      <c r="A39" s="93"/>
      <c r="B39" s="93"/>
      <c r="C39" s="94"/>
      <c r="D39" s="95"/>
      <c r="E39" s="95"/>
      <c r="F39" s="95"/>
      <c r="G39" s="95">
        <f t="shared" si="5"/>
        <v>0</v>
      </c>
      <c r="H39" s="96">
        <v>0</v>
      </c>
    </row>
    <row r="40" spans="1:8" s="69" customFormat="1" ht="15.95" customHeight="1">
      <c r="A40" s="90" t="s">
        <v>15</v>
      </c>
      <c r="B40" s="90" t="s">
        <v>15</v>
      </c>
      <c r="C40" s="91" t="s">
        <v>932</v>
      </c>
      <c r="D40" s="82"/>
      <c r="E40" s="82"/>
      <c r="F40" s="82"/>
      <c r="G40" s="82">
        <f>SUM(G41:G43)</f>
        <v>5448.68</v>
      </c>
      <c r="H40" s="97"/>
    </row>
    <row r="41" spans="1:8" s="139" customFormat="1" ht="15.95" customHeight="1">
      <c r="A41" s="135" t="s">
        <v>933</v>
      </c>
      <c r="B41" s="135" t="s">
        <v>934</v>
      </c>
      <c r="C41" s="136" t="s">
        <v>935</v>
      </c>
      <c r="D41" s="137" t="s">
        <v>908</v>
      </c>
      <c r="E41" s="137">
        <v>177.5</v>
      </c>
      <c r="F41" s="137">
        <f>ROUND(FATOR*H41,2)</f>
        <v>29.8</v>
      </c>
      <c r="G41" s="137">
        <f>ROUND(E41*F41,2)</f>
        <v>5289.5</v>
      </c>
      <c r="H41" s="138">
        <v>29.8</v>
      </c>
    </row>
    <row r="42" spans="1:8" s="139" customFormat="1" ht="15.95" customHeight="1">
      <c r="A42" s="135" t="s">
        <v>936</v>
      </c>
      <c r="B42" s="135" t="s">
        <v>913</v>
      </c>
      <c r="C42" s="136" t="s">
        <v>914</v>
      </c>
      <c r="D42" s="137" t="s">
        <v>879</v>
      </c>
      <c r="E42" s="137">
        <v>2.67</v>
      </c>
      <c r="F42" s="137">
        <f>ROUND(FATOR*H42,2)</f>
        <v>28.41</v>
      </c>
      <c r="G42" s="137">
        <f>ROUND(E42*F42,2)</f>
        <v>75.849999999999994</v>
      </c>
      <c r="H42" s="138">
        <v>28.41</v>
      </c>
    </row>
    <row r="43" spans="1:8" s="139" customFormat="1" ht="24.95" customHeight="1">
      <c r="A43" s="135" t="s">
        <v>937</v>
      </c>
      <c r="B43" s="135" t="s">
        <v>899</v>
      </c>
      <c r="C43" s="136" t="s">
        <v>900</v>
      </c>
      <c r="D43" s="137" t="s">
        <v>879</v>
      </c>
      <c r="E43" s="137">
        <v>2.67</v>
      </c>
      <c r="F43" s="137">
        <f>ROUND(FATOR*H43,2)</f>
        <v>31.21</v>
      </c>
      <c r="G43" s="137">
        <f>ROUND(E43*F43,2)</f>
        <v>83.33</v>
      </c>
      <c r="H43" s="138">
        <v>31.21</v>
      </c>
    </row>
    <row r="44" spans="1:8" s="69" customFormat="1" ht="15.95" customHeight="1">
      <c r="A44" s="90" t="s">
        <v>16</v>
      </c>
      <c r="B44" s="90" t="s">
        <v>16</v>
      </c>
      <c r="C44" s="91" t="s">
        <v>938</v>
      </c>
      <c r="D44" s="82"/>
      <c r="E44" s="82"/>
      <c r="F44" s="82"/>
      <c r="G44" s="82">
        <f>SUM(G45:G47)</f>
        <v>8452.0400000000009</v>
      </c>
      <c r="H44" s="97"/>
    </row>
    <row r="45" spans="1:8" s="139" customFormat="1" ht="24.95" customHeight="1">
      <c r="A45" s="135" t="s">
        <v>939</v>
      </c>
      <c r="B45" s="135" t="s">
        <v>940</v>
      </c>
      <c r="C45" s="136" t="s">
        <v>941</v>
      </c>
      <c r="D45" s="137" t="s">
        <v>908</v>
      </c>
      <c r="E45" s="137">
        <v>108.68</v>
      </c>
      <c r="F45" s="137">
        <f>ROUND(FATOR*H45,2)</f>
        <v>77.77</v>
      </c>
      <c r="G45" s="137">
        <f>ROUND(E45*F45,2)</f>
        <v>8452.0400000000009</v>
      </c>
      <c r="H45" s="138">
        <v>77.77</v>
      </c>
    </row>
    <row r="46" spans="1:8" s="69" customFormat="1" ht="15.95" hidden="1" customHeight="1">
      <c r="A46" s="93"/>
      <c r="B46" s="93"/>
      <c r="C46" s="94"/>
      <c r="D46" s="95"/>
      <c r="E46" s="95"/>
      <c r="F46" s="95"/>
      <c r="G46" s="95">
        <f>ROUND(E46*F46,2)</f>
        <v>0</v>
      </c>
      <c r="H46" s="96">
        <v>0</v>
      </c>
    </row>
    <row r="47" spans="1:8" s="69" customFormat="1" ht="15.95" hidden="1" customHeight="1">
      <c r="A47" s="93"/>
      <c r="B47" s="93"/>
      <c r="C47" s="94"/>
      <c r="D47" s="95"/>
      <c r="E47" s="95"/>
      <c r="F47" s="95"/>
      <c r="G47" s="95">
        <f>ROUND(E47*F47,2)</f>
        <v>0</v>
      </c>
      <c r="H47" s="96">
        <v>0</v>
      </c>
    </row>
    <row r="48" spans="1:8" s="69" customFormat="1" ht="15.95" customHeight="1">
      <c r="A48" s="90" t="s">
        <v>17</v>
      </c>
      <c r="B48" s="90" t="s">
        <v>17</v>
      </c>
      <c r="C48" s="91" t="s">
        <v>942</v>
      </c>
      <c r="D48" s="82"/>
      <c r="E48" s="82"/>
      <c r="F48" s="82"/>
      <c r="G48" s="82">
        <f>SUM(G49:G51)</f>
        <v>44758.1</v>
      </c>
      <c r="H48" s="97"/>
    </row>
    <row r="49" spans="1:8" s="146" customFormat="1" ht="24.95" customHeight="1">
      <c r="A49" s="142" t="s">
        <v>948</v>
      </c>
      <c r="B49" s="142" t="s">
        <v>943</v>
      </c>
      <c r="C49" s="143" t="s">
        <v>944</v>
      </c>
      <c r="D49" s="144" t="s">
        <v>874</v>
      </c>
      <c r="E49" s="144">
        <v>1</v>
      </c>
      <c r="F49" s="144">
        <f>ROUND(FATOR*H49,2)</f>
        <v>3503.29</v>
      </c>
      <c r="G49" s="144">
        <f>ROUND(E49*F49,2)</f>
        <v>3503.29</v>
      </c>
      <c r="H49" s="145">
        <v>3503.29</v>
      </c>
    </row>
    <row r="50" spans="1:8" s="139" customFormat="1" ht="24.95" customHeight="1">
      <c r="A50" s="135" t="s">
        <v>949</v>
      </c>
      <c r="B50" s="135" t="s">
        <v>951</v>
      </c>
      <c r="C50" s="136" t="s">
        <v>952</v>
      </c>
      <c r="D50" s="137" t="s">
        <v>879</v>
      </c>
      <c r="E50" s="137">
        <v>187.41</v>
      </c>
      <c r="F50" s="137">
        <f>ROUND(FATOR*H50,2)</f>
        <v>11.7</v>
      </c>
      <c r="G50" s="137">
        <f>ROUND(E50*F50,2)</f>
        <v>2192.6999999999998</v>
      </c>
      <c r="H50" s="138">
        <v>11.7</v>
      </c>
    </row>
    <row r="51" spans="1:8" s="139" customFormat="1" ht="15.95" customHeight="1">
      <c r="A51" s="135" t="s">
        <v>950</v>
      </c>
      <c r="B51" s="135" t="s">
        <v>945</v>
      </c>
      <c r="C51" s="136" t="s">
        <v>946</v>
      </c>
      <c r="D51" s="137" t="s">
        <v>947</v>
      </c>
      <c r="E51" s="137">
        <v>30047.78</v>
      </c>
      <c r="F51" s="137">
        <f>ROUND(FATOR*H51,2)</f>
        <v>1.3</v>
      </c>
      <c r="G51" s="137">
        <f>ROUND(E51*F51,2)</f>
        <v>39062.11</v>
      </c>
      <c r="H51" s="138">
        <v>1.3</v>
      </c>
    </row>
    <row r="52" spans="1:8" s="69" customFormat="1" ht="15.95" hidden="1" customHeight="1">
      <c r="A52" s="90" t="s">
        <v>18</v>
      </c>
      <c r="B52" s="90" t="s">
        <v>18</v>
      </c>
      <c r="C52" s="91" t="s">
        <v>19</v>
      </c>
      <c r="D52" s="82"/>
      <c r="E52" s="82"/>
      <c r="F52" s="82"/>
      <c r="G52" s="82">
        <f>SUM(G53:G55)</f>
        <v>0</v>
      </c>
      <c r="H52" s="97"/>
    </row>
    <row r="53" spans="1:8" s="69" customFormat="1" ht="15.95" hidden="1" customHeight="1">
      <c r="A53" s="93"/>
      <c r="B53" s="93"/>
      <c r="C53" s="94"/>
      <c r="D53" s="95"/>
      <c r="E53" s="95"/>
      <c r="F53" s="95"/>
      <c r="G53" s="95">
        <f>ROUND(E53*F53,2)</f>
        <v>0</v>
      </c>
      <c r="H53" s="96">
        <v>0</v>
      </c>
    </row>
    <row r="54" spans="1:8" s="69" customFormat="1" ht="15.95" hidden="1" customHeight="1">
      <c r="A54" s="93"/>
      <c r="B54" s="93"/>
      <c r="C54" s="94"/>
      <c r="D54" s="95"/>
      <c r="E54" s="95"/>
      <c r="F54" s="95"/>
      <c r="G54" s="95">
        <f>ROUND(E54*F54,2)</f>
        <v>0</v>
      </c>
      <c r="H54" s="96">
        <v>0</v>
      </c>
    </row>
    <row r="55" spans="1:8" s="69" customFormat="1" ht="15.95" hidden="1" customHeight="1">
      <c r="A55" s="93"/>
      <c r="B55" s="93"/>
      <c r="C55" s="94"/>
      <c r="D55" s="95"/>
      <c r="E55" s="95"/>
      <c r="F55" s="95"/>
      <c r="G55" s="95">
        <f>ROUND(E55*F55,2)</f>
        <v>0</v>
      </c>
      <c r="H55" s="96">
        <v>0</v>
      </c>
    </row>
    <row r="56" spans="1:8" s="69" customFormat="1" ht="15.95" hidden="1" customHeight="1">
      <c r="A56" s="90" t="s">
        <v>20</v>
      </c>
      <c r="B56" s="90" t="s">
        <v>20</v>
      </c>
      <c r="C56" s="91" t="s">
        <v>21</v>
      </c>
      <c r="D56" s="82"/>
      <c r="E56" s="82"/>
      <c r="F56" s="82"/>
      <c r="G56" s="82">
        <f>SUM(G57:G59)</f>
        <v>0</v>
      </c>
      <c r="H56" s="97"/>
    </row>
    <row r="57" spans="1:8" s="69" customFormat="1" ht="15.95" hidden="1" customHeight="1">
      <c r="A57" s="93"/>
      <c r="B57" s="93"/>
      <c r="C57" s="94"/>
      <c r="D57" s="95"/>
      <c r="E57" s="95"/>
      <c r="F57" s="95"/>
      <c r="G57" s="95">
        <f>ROUND(E57*F57,2)</f>
        <v>0</v>
      </c>
      <c r="H57" s="96">
        <v>0</v>
      </c>
    </row>
    <row r="58" spans="1:8" s="69" customFormat="1" ht="15.95" hidden="1" customHeight="1">
      <c r="A58" s="93"/>
      <c r="B58" s="93"/>
      <c r="C58" s="94"/>
      <c r="D58" s="95"/>
      <c r="E58" s="95"/>
      <c r="F58" s="95"/>
      <c r="G58" s="95">
        <f>ROUND(E58*F58,2)</f>
        <v>0</v>
      </c>
      <c r="H58" s="96">
        <v>0</v>
      </c>
    </row>
    <row r="59" spans="1:8" s="69" customFormat="1" ht="15.95" hidden="1" customHeight="1">
      <c r="A59" s="93"/>
      <c r="B59" s="93"/>
      <c r="C59" s="94"/>
      <c r="D59" s="95"/>
      <c r="E59" s="95"/>
      <c r="F59" s="95"/>
      <c r="G59" s="95">
        <f>ROUND(E59*F59,2)</f>
        <v>0</v>
      </c>
      <c r="H59" s="96">
        <v>0</v>
      </c>
    </row>
    <row r="60" spans="1:8" s="69" customFormat="1" ht="15.95" hidden="1" customHeight="1">
      <c r="A60" s="90" t="s">
        <v>22</v>
      </c>
      <c r="B60" s="90" t="s">
        <v>22</v>
      </c>
      <c r="C60" s="91" t="s">
        <v>23</v>
      </c>
      <c r="D60" s="82"/>
      <c r="E60" s="82"/>
      <c r="F60" s="82"/>
      <c r="G60" s="82">
        <f>SUM(G61:G63)</f>
        <v>0</v>
      </c>
      <c r="H60" s="97"/>
    </row>
    <row r="61" spans="1:8" s="69" customFormat="1" ht="15.95" hidden="1" customHeight="1">
      <c r="A61" s="93"/>
      <c r="B61" s="93"/>
      <c r="C61" s="94"/>
      <c r="D61" s="95"/>
      <c r="E61" s="95"/>
      <c r="F61" s="95"/>
      <c r="G61" s="95">
        <f>ROUND(E61*F61,2)</f>
        <v>0</v>
      </c>
      <c r="H61" s="96">
        <v>0</v>
      </c>
    </row>
    <row r="62" spans="1:8" s="69" customFormat="1" ht="15.95" hidden="1" customHeight="1">
      <c r="A62" s="93"/>
      <c r="B62" s="93"/>
      <c r="C62" s="94"/>
      <c r="D62" s="95"/>
      <c r="E62" s="95"/>
      <c r="F62" s="95"/>
      <c r="G62" s="95">
        <f>ROUND(E62*F62,2)</f>
        <v>0</v>
      </c>
      <c r="H62" s="96">
        <v>0</v>
      </c>
    </row>
    <row r="63" spans="1:8" s="69" customFormat="1" ht="15.95" hidden="1" customHeight="1">
      <c r="A63" s="93"/>
      <c r="B63" s="93"/>
      <c r="C63" s="94"/>
      <c r="D63" s="95"/>
      <c r="E63" s="95"/>
      <c r="F63" s="95"/>
      <c r="G63" s="95">
        <f>ROUND(E63*F63,2)</f>
        <v>0</v>
      </c>
      <c r="H63" s="96">
        <v>0</v>
      </c>
    </row>
    <row r="64" spans="1:8" s="69" customFormat="1" ht="15.95" hidden="1" customHeight="1">
      <c r="A64" s="90" t="s">
        <v>24</v>
      </c>
      <c r="B64" s="90" t="s">
        <v>24</v>
      </c>
      <c r="C64" s="91" t="s">
        <v>25</v>
      </c>
      <c r="D64" s="82"/>
      <c r="E64" s="82"/>
      <c r="F64" s="82"/>
      <c r="G64" s="82">
        <f>SUM(G65:G67)</f>
        <v>0</v>
      </c>
      <c r="H64" s="97"/>
    </row>
    <row r="65" spans="1:8" s="69" customFormat="1" ht="15.95" hidden="1" customHeight="1">
      <c r="A65" s="93"/>
      <c r="B65" s="93"/>
      <c r="C65" s="94"/>
      <c r="D65" s="95"/>
      <c r="E65" s="95"/>
      <c r="F65" s="95"/>
      <c r="G65" s="95">
        <f>ROUND(E65*F65,2)</f>
        <v>0</v>
      </c>
      <c r="H65" s="96">
        <v>0</v>
      </c>
    </row>
    <row r="66" spans="1:8" s="69" customFormat="1" ht="15.95" hidden="1" customHeight="1">
      <c r="A66" s="93"/>
      <c r="B66" s="93"/>
      <c r="C66" s="94"/>
      <c r="D66" s="95"/>
      <c r="E66" s="95"/>
      <c r="F66" s="95"/>
      <c r="G66" s="95">
        <f>ROUND(E66*F66,2)</f>
        <v>0</v>
      </c>
      <c r="H66" s="96">
        <v>0</v>
      </c>
    </row>
    <row r="67" spans="1:8" s="69" customFormat="1" ht="15.95" hidden="1" customHeight="1">
      <c r="A67" s="93"/>
      <c r="B67" s="93"/>
      <c r="C67" s="94"/>
      <c r="D67" s="95"/>
      <c r="E67" s="95"/>
      <c r="F67" s="95"/>
      <c r="G67" s="95">
        <f>ROUND(E67*F67,2)</f>
        <v>0</v>
      </c>
      <c r="H67" s="96">
        <v>0</v>
      </c>
    </row>
    <row r="68" spans="1:8" s="69" customFormat="1" ht="15.95" hidden="1" customHeight="1">
      <c r="A68" s="90" t="s">
        <v>26</v>
      </c>
      <c r="B68" s="90" t="s">
        <v>26</v>
      </c>
      <c r="C68" s="91" t="s">
        <v>27</v>
      </c>
      <c r="D68" s="82"/>
      <c r="E68" s="82"/>
      <c r="F68" s="82"/>
      <c r="G68" s="82">
        <f>SUM(G69:G71)</f>
        <v>0</v>
      </c>
      <c r="H68" s="97"/>
    </row>
    <row r="69" spans="1:8" s="69" customFormat="1" ht="15.95" hidden="1" customHeight="1">
      <c r="A69" s="93"/>
      <c r="B69" s="93"/>
      <c r="C69" s="94"/>
      <c r="D69" s="95"/>
      <c r="E69" s="95"/>
      <c r="F69" s="95"/>
      <c r="G69" s="95">
        <f>ROUND(E69*F69,2)</f>
        <v>0</v>
      </c>
      <c r="H69" s="96">
        <v>0</v>
      </c>
    </row>
    <row r="70" spans="1:8" s="69" customFormat="1" ht="15.95" hidden="1" customHeight="1">
      <c r="A70" s="93"/>
      <c r="B70" s="93"/>
      <c r="C70" s="94"/>
      <c r="D70" s="95"/>
      <c r="E70" s="95"/>
      <c r="F70" s="95"/>
      <c r="G70" s="95">
        <f>ROUND(E70*F70,2)</f>
        <v>0</v>
      </c>
      <c r="H70" s="96">
        <v>0</v>
      </c>
    </row>
    <row r="71" spans="1:8" s="69" customFormat="1" ht="15.95" hidden="1" customHeight="1">
      <c r="A71" s="93"/>
      <c r="B71" s="93"/>
      <c r="C71" s="94"/>
      <c r="D71" s="95"/>
      <c r="E71" s="95"/>
      <c r="F71" s="95"/>
      <c r="G71" s="95">
        <f>ROUND(E71*F71,2)</f>
        <v>0</v>
      </c>
      <c r="H71" s="96">
        <v>0</v>
      </c>
    </row>
    <row r="72" spans="1:8" s="69" customFormat="1" ht="15.95" hidden="1" customHeight="1">
      <c r="A72" s="90" t="s">
        <v>28</v>
      </c>
      <c r="B72" s="90" t="s">
        <v>28</v>
      </c>
      <c r="C72" s="91" t="s">
        <v>29</v>
      </c>
      <c r="D72" s="82"/>
      <c r="E72" s="82"/>
      <c r="F72" s="82"/>
      <c r="G72" s="82">
        <f>SUM(G73:G75)</f>
        <v>0</v>
      </c>
      <c r="H72" s="97"/>
    </row>
    <row r="73" spans="1:8" s="69" customFormat="1" ht="15.95" hidden="1" customHeight="1">
      <c r="A73" s="93"/>
      <c r="B73" s="93"/>
      <c r="C73" s="94"/>
      <c r="D73" s="95"/>
      <c r="E73" s="95"/>
      <c r="F73" s="95"/>
      <c r="G73" s="95">
        <f>ROUND(E73*F73,2)</f>
        <v>0</v>
      </c>
      <c r="H73" s="96">
        <v>0</v>
      </c>
    </row>
    <row r="74" spans="1:8" s="69" customFormat="1" ht="15.95" hidden="1" customHeight="1">
      <c r="A74" s="93"/>
      <c r="B74" s="93"/>
      <c r="C74" s="94"/>
      <c r="D74" s="95"/>
      <c r="E74" s="95"/>
      <c r="F74" s="95"/>
      <c r="G74" s="95">
        <f>ROUND(E74*F74,2)</f>
        <v>0</v>
      </c>
      <c r="H74" s="96">
        <v>0</v>
      </c>
    </row>
    <row r="75" spans="1:8" s="69" customFormat="1" ht="15.95" hidden="1" customHeight="1">
      <c r="A75" s="93"/>
      <c r="B75" s="93"/>
      <c r="C75" s="94"/>
      <c r="D75" s="95"/>
      <c r="E75" s="95"/>
      <c r="F75" s="95"/>
      <c r="G75" s="95">
        <f>ROUND(E75*F75,2)</f>
        <v>0</v>
      </c>
      <c r="H75" s="96">
        <v>0</v>
      </c>
    </row>
    <row r="76" spans="1:8" s="69" customFormat="1" ht="15.95" hidden="1" customHeight="1">
      <c r="A76" s="90" t="s">
        <v>30</v>
      </c>
      <c r="B76" s="90" t="s">
        <v>30</v>
      </c>
      <c r="C76" s="91" t="s">
        <v>31</v>
      </c>
      <c r="D76" s="82"/>
      <c r="E76" s="82"/>
      <c r="F76" s="82"/>
      <c r="G76" s="82">
        <f>SUM(G77:G79)</f>
        <v>0</v>
      </c>
      <c r="H76" s="97"/>
    </row>
    <row r="77" spans="1:8" s="69" customFormat="1" ht="15.95" hidden="1" customHeight="1">
      <c r="A77" s="93"/>
      <c r="B77" s="93"/>
      <c r="C77" s="94"/>
      <c r="D77" s="95"/>
      <c r="E77" s="95"/>
      <c r="F77" s="95"/>
      <c r="G77" s="95">
        <f>ROUND(E77*F77,2)</f>
        <v>0</v>
      </c>
      <c r="H77" s="96">
        <v>0</v>
      </c>
    </row>
    <row r="78" spans="1:8" s="69" customFormat="1" ht="15.95" hidden="1" customHeight="1">
      <c r="A78" s="93"/>
      <c r="B78" s="93"/>
      <c r="C78" s="94"/>
      <c r="D78" s="95"/>
      <c r="E78" s="95"/>
      <c r="F78" s="95"/>
      <c r="G78" s="95">
        <f>ROUND(E78*F78,2)</f>
        <v>0</v>
      </c>
      <c r="H78" s="96">
        <v>0</v>
      </c>
    </row>
    <row r="79" spans="1:8" s="69" customFormat="1" ht="15.95" hidden="1" customHeight="1">
      <c r="A79" s="93"/>
      <c r="B79" s="93"/>
      <c r="C79" s="94"/>
      <c r="D79" s="95"/>
      <c r="E79" s="95"/>
      <c r="F79" s="95"/>
      <c r="G79" s="95">
        <f>ROUND(E79*F79,2)</f>
        <v>0</v>
      </c>
      <c r="H79" s="96">
        <v>0</v>
      </c>
    </row>
    <row r="80" spans="1:8" s="69" customFormat="1" ht="15.95" hidden="1" customHeight="1">
      <c r="A80" s="90" t="s">
        <v>32</v>
      </c>
      <c r="B80" s="90" t="s">
        <v>32</v>
      </c>
      <c r="C80" s="91" t="s">
        <v>33</v>
      </c>
      <c r="D80" s="82"/>
      <c r="E80" s="82"/>
      <c r="F80" s="82"/>
      <c r="G80" s="82">
        <f>SUM(G81:G83)</f>
        <v>0</v>
      </c>
      <c r="H80" s="97"/>
    </row>
    <row r="81" spans="1:8" s="69" customFormat="1" ht="15.95" hidden="1" customHeight="1">
      <c r="A81" s="93"/>
      <c r="B81" s="93"/>
      <c r="C81" s="94"/>
      <c r="D81" s="95"/>
      <c r="E81" s="95"/>
      <c r="F81" s="95"/>
      <c r="G81" s="95">
        <f>ROUND(E81*F81,2)</f>
        <v>0</v>
      </c>
      <c r="H81" s="96">
        <v>0</v>
      </c>
    </row>
    <row r="82" spans="1:8" s="69" customFormat="1" ht="15.95" hidden="1" customHeight="1">
      <c r="A82" s="93"/>
      <c r="B82" s="93"/>
      <c r="C82" s="94"/>
      <c r="D82" s="95"/>
      <c r="E82" s="95"/>
      <c r="F82" s="95"/>
      <c r="G82" s="95">
        <f>ROUND(E82*F82,2)</f>
        <v>0</v>
      </c>
      <c r="H82" s="96">
        <v>0</v>
      </c>
    </row>
    <row r="83" spans="1:8" s="69" customFormat="1" ht="15.95" hidden="1" customHeight="1">
      <c r="A83" s="93"/>
      <c r="B83" s="93"/>
      <c r="C83" s="94"/>
      <c r="D83" s="95"/>
      <c r="E83" s="95"/>
      <c r="F83" s="95"/>
      <c r="G83" s="95">
        <f>ROUND(E83*F83,2)</f>
        <v>0</v>
      </c>
      <c r="H83" s="96">
        <v>0</v>
      </c>
    </row>
    <row r="84" spans="1:8" s="69" customFormat="1" ht="15.95" hidden="1" customHeight="1">
      <c r="A84" s="90" t="s">
        <v>34</v>
      </c>
      <c r="B84" s="90" t="s">
        <v>34</v>
      </c>
      <c r="C84" s="91" t="s">
        <v>35</v>
      </c>
      <c r="D84" s="82"/>
      <c r="E84" s="82"/>
      <c r="F84" s="82"/>
      <c r="G84" s="82">
        <f>SUM(G85:G87)</f>
        <v>0</v>
      </c>
      <c r="H84" s="97"/>
    </row>
    <row r="85" spans="1:8" s="69" customFormat="1" ht="15.95" hidden="1" customHeight="1">
      <c r="A85" s="93"/>
      <c r="B85" s="93"/>
      <c r="C85" s="94"/>
      <c r="D85" s="95"/>
      <c r="E85" s="95"/>
      <c r="F85" s="95"/>
      <c r="G85" s="95">
        <f>ROUND(E85*F85,2)</f>
        <v>0</v>
      </c>
      <c r="H85" s="96">
        <v>0</v>
      </c>
    </row>
    <row r="86" spans="1:8" s="69" customFormat="1" ht="15.95" hidden="1" customHeight="1">
      <c r="A86" s="93"/>
      <c r="B86" s="93"/>
      <c r="C86" s="94"/>
      <c r="D86" s="95"/>
      <c r="E86" s="95"/>
      <c r="F86" s="95"/>
      <c r="G86" s="95">
        <f>ROUND(E86*F86,2)</f>
        <v>0</v>
      </c>
      <c r="H86" s="96">
        <v>0</v>
      </c>
    </row>
    <row r="87" spans="1:8" s="69" customFormat="1" ht="15.95" hidden="1" customHeight="1">
      <c r="A87" s="93"/>
      <c r="B87" s="93"/>
      <c r="C87" s="94"/>
      <c r="D87" s="95"/>
      <c r="E87" s="95"/>
      <c r="F87" s="95"/>
      <c r="G87" s="95">
        <f>ROUND(E87*F87,2)</f>
        <v>0</v>
      </c>
      <c r="H87" s="96">
        <v>0</v>
      </c>
    </row>
    <row r="88" spans="1:8" s="69" customFormat="1" ht="15.95" hidden="1" customHeight="1">
      <c r="A88" s="90" t="s">
        <v>36</v>
      </c>
      <c r="B88" s="90" t="s">
        <v>36</v>
      </c>
      <c r="C88" s="91" t="s">
        <v>37</v>
      </c>
      <c r="D88" s="82"/>
      <c r="E88" s="82"/>
      <c r="F88" s="82"/>
      <c r="G88" s="82">
        <f>SUM(G89:G91)</f>
        <v>0</v>
      </c>
      <c r="H88" s="96"/>
    </row>
    <row r="89" spans="1:8" s="69" customFormat="1" ht="15.95" hidden="1" customHeight="1">
      <c r="A89" s="93"/>
      <c r="B89" s="93"/>
      <c r="C89" s="94"/>
      <c r="D89" s="95"/>
      <c r="E89" s="95"/>
      <c r="F89" s="95"/>
      <c r="G89" s="95">
        <f>ROUND(E89*F89,2)</f>
        <v>0</v>
      </c>
      <c r="H89" s="96">
        <v>0</v>
      </c>
    </row>
    <row r="90" spans="1:8" s="69" customFormat="1" ht="15.95" hidden="1" customHeight="1">
      <c r="A90" s="93"/>
      <c r="B90" s="93"/>
      <c r="C90" s="94"/>
      <c r="D90" s="95"/>
      <c r="E90" s="95"/>
      <c r="F90" s="95"/>
      <c r="G90" s="95">
        <f>ROUND(E90*F90,2)</f>
        <v>0</v>
      </c>
      <c r="H90" s="96">
        <v>0</v>
      </c>
    </row>
    <row r="91" spans="1:8" s="69" customFormat="1" ht="15.95" hidden="1" customHeight="1">
      <c r="A91" s="93"/>
      <c r="B91" s="93"/>
      <c r="C91" s="94"/>
      <c r="D91" s="95"/>
      <c r="E91" s="95"/>
      <c r="F91" s="95"/>
      <c r="G91" s="95">
        <f>ROUND(E91*F91,2)</f>
        <v>0</v>
      </c>
      <c r="H91" s="96">
        <v>0</v>
      </c>
    </row>
    <row r="92" spans="1:8" s="69" customFormat="1" ht="15.95" hidden="1" customHeight="1">
      <c r="A92" s="90" t="s">
        <v>38</v>
      </c>
      <c r="B92" s="90" t="s">
        <v>38</v>
      </c>
      <c r="C92" s="91" t="s">
        <v>39</v>
      </c>
      <c r="D92" s="82"/>
      <c r="E92" s="82"/>
      <c r="F92" s="82"/>
      <c r="G92" s="82">
        <f>SUM(G93:G95)</f>
        <v>0</v>
      </c>
      <c r="H92" s="97"/>
    </row>
    <row r="93" spans="1:8" s="69" customFormat="1" ht="15.95" hidden="1" customHeight="1">
      <c r="A93" s="93"/>
      <c r="B93" s="93"/>
      <c r="C93" s="94"/>
      <c r="D93" s="95"/>
      <c r="E93" s="95"/>
      <c r="F93" s="95"/>
      <c r="G93" s="95">
        <f>ROUND(E93*F93,2)</f>
        <v>0</v>
      </c>
      <c r="H93" s="96">
        <v>0</v>
      </c>
    </row>
    <row r="94" spans="1:8" s="69" customFormat="1" ht="15.95" hidden="1" customHeight="1">
      <c r="A94" s="93"/>
      <c r="B94" s="93"/>
      <c r="C94" s="94"/>
      <c r="D94" s="95"/>
      <c r="E94" s="95"/>
      <c r="F94" s="95"/>
      <c r="G94" s="95">
        <f>ROUND(E94*F94,2)</f>
        <v>0</v>
      </c>
      <c r="H94" s="96">
        <v>0</v>
      </c>
    </row>
    <row r="95" spans="1:8" s="69" customFormat="1" ht="15.95" hidden="1" customHeight="1">
      <c r="A95" s="93"/>
      <c r="B95" s="93"/>
      <c r="C95" s="94"/>
      <c r="D95" s="95"/>
      <c r="E95" s="95"/>
      <c r="F95" s="95"/>
      <c r="G95" s="95">
        <f>ROUND(E95*F95,2)</f>
        <v>0</v>
      </c>
      <c r="H95" s="96">
        <v>0</v>
      </c>
    </row>
    <row r="96" spans="1:8" s="69" customFormat="1" ht="15.95" hidden="1" customHeight="1">
      <c r="A96" s="90" t="s">
        <v>40</v>
      </c>
      <c r="B96" s="90" t="s">
        <v>40</v>
      </c>
      <c r="C96" s="91" t="s">
        <v>41</v>
      </c>
      <c r="D96" s="82"/>
      <c r="E96" s="82"/>
      <c r="F96" s="82"/>
      <c r="G96" s="82">
        <f>SUM(G97:G99)</f>
        <v>0</v>
      </c>
      <c r="H96" s="97"/>
    </row>
    <row r="97" spans="1:8" s="69" customFormat="1" ht="15.95" hidden="1" customHeight="1">
      <c r="A97" s="93"/>
      <c r="B97" s="93"/>
      <c r="C97" s="94"/>
      <c r="D97" s="95"/>
      <c r="E97" s="95"/>
      <c r="F97" s="95"/>
      <c r="G97" s="95">
        <f>ROUND(E97*F97,2)</f>
        <v>0</v>
      </c>
      <c r="H97" s="96">
        <v>0</v>
      </c>
    </row>
    <row r="98" spans="1:8" s="69" customFormat="1" ht="15.95" hidden="1" customHeight="1">
      <c r="A98" s="93"/>
      <c r="B98" s="93"/>
      <c r="C98" s="94"/>
      <c r="D98" s="95"/>
      <c r="E98" s="95"/>
      <c r="F98" s="95"/>
      <c r="G98" s="95">
        <f>ROUND(E98*F98,2)</f>
        <v>0</v>
      </c>
      <c r="H98" s="96">
        <v>0</v>
      </c>
    </row>
    <row r="99" spans="1:8" s="69" customFormat="1" ht="15.95" hidden="1" customHeight="1">
      <c r="A99" s="93"/>
      <c r="B99" s="93"/>
      <c r="C99" s="94"/>
      <c r="D99" s="95"/>
      <c r="E99" s="95"/>
      <c r="F99" s="95"/>
      <c r="G99" s="95">
        <f>ROUND(E99*F99,2)</f>
        <v>0</v>
      </c>
      <c r="H99" s="96">
        <v>0</v>
      </c>
    </row>
    <row r="100" spans="1:8" s="69" customFormat="1" ht="15.95" hidden="1" customHeight="1">
      <c r="A100" s="90" t="s">
        <v>42</v>
      </c>
      <c r="B100" s="90" t="s">
        <v>42</v>
      </c>
      <c r="C100" s="91" t="s">
        <v>43</v>
      </c>
      <c r="D100" s="82"/>
      <c r="E100" s="82"/>
      <c r="F100" s="82"/>
      <c r="G100" s="82">
        <f>SUM(G101:G103)</f>
        <v>0</v>
      </c>
      <c r="H100" s="97"/>
    </row>
    <row r="101" spans="1:8" s="69" customFormat="1" ht="15.95" hidden="1" customHeight="1">
      <c r="A101" s="93"/>
      <c r="B101" s="93"/>
      <c r="C101" s="94"/>
      <c r="D101" s="95"/>
      <c r="E101" s="95"/>
      <c r="F101" s="95"/>
      <c r="G101" s="95">
        <f>ROUND(E101*F101,2)</f>
        <v>0</v>
      </c>
      <c r="H101" s="96">
        <v>0</v>
      </c>
    </row>
    <row r="102" spans="1:8" s="69" customFormat="1" ht="15.95" hidden="1" customHeight="1">
      <c r="A102" s="93"/>
      <c r="B102" s="93"/>
      <c r="C102" s="94"/>
      <c r="D102" s="95"/>
      <c r="E102" s="95"/>
      <c r="F102" s="95"/>
      <c r="G102" s="95">
        <f>ROUND(E102*F102,2)</f>
        <v>0</v>
      </c>
      <c r="H102" s="96">
        <v>0</v>
      </c>
    </row>
    <row r="103" spans="1:8" s="69" customFormat="1" ht="15.95" hidden="1" customHeight="1">
      <c r="A103" s="93"/>
      <c r="B103" s="93"/>
      <c r="C103" s="94"/>
      <c r="D103" s="95"/>
      <c r="E103" s="95"/>
      <c r="F103" s="95"/>
      <c r="G103" s="95">
        <f>ROUND(E103*F103,2)</f>
        <v>0</v>
      </c>
      <c r="H103" s="96">
        <v>0</v>
      </c>
    </row>
    <row r="104" spans="1:8" s="69" customFormat="1" ht="15.95" hidden="1" customHeight="1">
      <c r="A104" s="90" t="s">
        <v>44</v>
      </c>
      <c r="B104" s="90" t="s">
        <v>44</v>
      </c>
      <c r="C104" s="91" t="s">
        <v>45</v>
      </c>
      <c r="D104" s="82"/>
      <c r="E104" s="82"/>
      <c r="F104" s="82"/>
      <c r="G104" s="82">
        <f>SUM(G105:G107)</f>
        <v>0</v>
      </c>
      <c r="H104" s="97"/>
    </row>
    <row r="105" spans="1:8" s="69" customFormat="1" ht="15.95" hidden="1" customHeight="1">
      <c r="A105" s="93"/>
      <c r="B105" s="93"/>
      <c r="C105" s="94"/>
      <c r="D105" s="95"/>
      <c r="E105" s="95"/>
      <c r="F105" s="95"/>
      <c r="G105" s="95">
        <f>ROUND(E105*F105,2)</f>
        <v>0</v>
      </c>
      <c r="H105" s="96">
        <v>0</v>
      </c>
    </row>
    <row r="106" spans="1:8" s="69" customFormat="1" ht="15.95" hidden="1" customHeight="1">
      <c r="A106" s="93"/>
      <c r="B106" s="93"/>
      <c r="C106" s="94"/>
      <c r="D106" s="95"/>
      <c r="E106" s="95"/>
      <c r="F106" s="95"/>
      <c r="G106" s="95">
        <f>ROUND(E106*F106,2)</f>
        <v>0</v>
      </c>
      <c r="H106" s="96">
        <v>0</v>
      </c>
    </row>
    <row r="107" spans="1:8" s="69" customFormat="1" ht="15.95" hidden="1" customHeight="1">
      <c r="A107" s="93"/>
      <c r="B107" s="93"/>
      <c r="C107" s="94"/>
      <c r="D107" s="95"/>
      <c r="E107" s="95"/>
      <c r="F107" s="95"/>
      <c r="G107" s="95">
        <f>ROUND(E107*F107,2)</f>
        <v>0</v>
      </c>
      <c r="H107" s="96">
        <v>0</v>
      </c>
    </row>
    <row r="108" spans="1:8" s="69" customFormat="1" ht="15.95" hidden="1" customHeight="1">
      <c r="A108" s="98"/>
      <c r="B108" s="98"/>
      <c r="C108" s="99" t="s">
        <v>46</v>
      </c>
      <c r="D108" s="100"/>
      <c r="E108" s="100"/>
      <c r="F108" s="100"/>
      <c r="G108" s="92"/>
      <c r="H108" s="97"/>
    </row>
    <row r="109" spans="1:8" s="69" customFormat="1" ht="15.95" customHeight="1">
      <c r="A109" s="101" t="s">
        <v>47</v>
      </c>
      <c r="B109" s="101" t="s">
        <v>47</v>
      </c>
      <c r="C109" s="102" t="s">
        <v>953</v>
      </c>
      <c r="D109" s="103"/>
      <c r="E109" s="103"/>
      <c r="F109" s="103"/>
      <c r="G109" s="103">
        <f>SG_02_01+SG_02_02+SG_02_03+SG_02_04+SG_02_05+SG_02_06+SG_02_07+SG_02_08+SG_02_09+SG_02_10+SG_02_11+SG_02_12+SG_02_13+SG_02_14+SG_02_15+SG_02_16+SG_02_17+SG_02_18+SG_02_19+SG_02_20</f>
        <v>728741.82000000007</v>
      </c>
      <c r="H109" s="97"/>
    </row>
    <row r="110" spans="1:8" s="69" customFormat="1" ht="15.95" customHeight="1">
      <c r="A110" s="104" t="s">
        <v>48</v>
      </c>
      <c r="B110" s="104" t="s">
        <v>48</v>
      </c>
      <c r="C110" s="105" t="s">
        <v>954</v>
      </c>
      <c r="D110" s="92"/>
      <c r="E110" s="92"/>
      <c r="F110" s="92"/>
      <c r="G110" s="92">
        <f>SUM(G111:G114)</f>
        <v>154099.53999999998</v>
      </c>
      <c r="H110" s="97"/>
    </row>
    <row r="111" spans="1:8" s="139" customFormat="1" ht="15.95" customHeight="1">
      <c r="A111" s="135" t="s">
        <v>955</v>
      </c>
      <c r="B111" s="135" t="s">
        <v>956</v>
      </c>
      <c r="C111" s="136" t="s">
        <v>957</v>
      </c>
      <c r="D111" s="137" t="s">
        <v>874</v>
      </c>
      <c r="E111" s="137">
        <v>644</v>
      </c>
      <c r="F111" s="137">
        <f>ROUND(FATOR*H111,2)</f>
        <v>60.23</v>
      </c>
      <c r="G111" s="137">
        <f>ROUND(E111*F111,2)</f>
        <v>38788.120000000003</v>
      </c>
      <c r="H111" s="141">
        <v>60.23</v>
      </c>
    </row>
    <row r="112" spans="1:8" s="139" customFormat="1" ht="15.95" customHeight="1">
      <c r="A112" s="135" t="s">
        <v>958</v>
      </c>
      <c r="B112" s="135" t="s">
        <v>959</v>
      </c>
      <c r="C112" s="136" t="s">
        <v>960</v>
      </c>
      <c r="D112" s="137" t="s">
        <v>927</v>
      </c>
      <c r="E112" s="137">
        <v>1932</v>
      </c>
      <c r="F112" s="137">
        <f>ROUND(FATOR*H112,2)</f>
        <v>27.2</v>
      </c>
      <c r="G112" s="137">
        <f>ROUND(E112*F112,2)</f>
        <v>52550.400000000001</v>
      </c>
      <c r="H112" s="141">
        <v>27.2</v>
      </c>
    </row>
    <row r="113" spans="1:8" s="139" customFormat="1" ht="24.95" customHeight="1">
      <c r="A113" s="135" t="s">
        <v>961</v>
      </c>
      <c r="B113" s="135" t="s">
        <v>962</v>
      </c>
      <c r="C113" s="136" t="s">
        <v>963</v>
      </c>
      <c r="D113" s="137" t="s">
        <v>927</v>
      </c>
      <c r="E113" s="137">
        <v>1932</v>
      </c>
      <c r="F113" s="137">
        <f>ROUND(FATOR*H113,2)</f>
        <v>28.29</v>
      </c>
      <c r="G113" s="137">
        <f>ROUND(E113*F113,2)</f>
        <v>54656.28</v>
      </c>
      <c r="H113" s="141">
        <v>28.29</v>
      </c>
    </row>
    <row r="114" spans="1:8" s="139" customFormat="1" ht="15.95" customHeight="1">
      <c r="A114" s="135" t="s">
        <v>964</v>
      </c>
      <c r="B114" s="135" t="s">
        <v>965</v>
      </c>
      <c r="C114" s="136" t="s">
        <v>966</v>
      </c>
      <c r="D114" s="137" t="s">
        <v>927</v>
      </c>
      <c r="E114" s="137">
        <v>483</v>
      </c>
      <c r="F114" s="137">
        <f>ROUND(FATOR*H114,2)</f>
        <v>16.78</v>
      </c>
      <c r="G114" s="137">
        <f>ROUND(E114*F114,2)</f>
        <v>8104.74</v>
      </c>
      <c r="H114" s="141">
        <v>16.78</v>
      </c>
    </row>
    <row r="115" spans="1:8" s="69" customFormat="1" ht="15.95" customHeight="1">
      <c r="A115" s="90" t="s">
        <v>49</v>
      </c>
      <c r="B115" s="90" t="s">
        <v>49</v>
      </c>
      <c r="C115" s="91" t="s">
        <v>967</v>
      </c>
      <c r="D115" s="82"/>
      <c r="E115" s="82"/>
      <c r="F115" s="82"/>
      <c r="G115" s="82">
        <f>SUM(G116:G122)</f>
        <v>15829.600000000002</v>
      </c>
      <c r="H115" s="97"/>
    </row>
    <row r="116" spans="1:8" s="139" customFormat="1" ht="15.95" customHeight="1">
      <c r="A116" s="135" t="s">
        <v>968</v>
      </c>
      <c r="B116" s="135" t="s">
        <v>969</v>
      </c>
      <c r="C116" s="136" t="s">
        <v>970</v>
      </c>
      <c r="D116" s="137" t="s">
        <v>927</v>
      </c>
      <c r="E116" s="137">
        <v>1086.75</v>
      </c>
      <c r="F116" s="137">
        <f t="shared" ref="F116:F121" si="6">ROUND(FATOR*H116,2)</f>
        <v>2.52</v>
      </c>
      <c r="G116" s="137">
        <f t="shared" ref="G116:G121" si="7">ROUND(E116*F116,2)</f>
        <v>2738.61</v>
      </c>
      <c r="H116" s="141">
        <v>2.52</v>
      </c>
    </row>
    <row r="117" spans="1:8" s="139" customFormat="1" ht="15.95" customHeight="1">
      <c r="A117" s="135" t="s">
        <v>971</v>
      </c>
      <c r="B117" s="135" t="s">
        <v>972</v>
      </c>
      <c r="C117" s="136" t="s">
        <v>973</v>
      </c>
      <c r="D117" s="137" t="s">
        <v>927</v>
      </c>
      <c r="E117" s="137">
        <v>579.6</v>
      </c>
      <c r="F117" s="137">
        <f t="shared" si="6"/>
        <v>2.99</v>
      </c>
      <c r="G117" s="137">
        <f t="shared" si="7"/>
        <v>1733</v>
      </c>
      <c r="H117" s="141">
        <v>2.99</v>
      </c>
    </row>
    <row r="118" spans="1:8" s="139" customFormat="1" ht="15.95" customHeight="1">
      <c r="A118" s="135" t="s">
        <v>974</v>
      </c>
      <c r="B118" s="135" t="s">
        <v>975</v>
      </c>
      <c r="C118" s="136" t="s">
        <v>976</v>
      </c>
      <c r="D118" s="137" t="s">
        <v>927</v>
      </c>
      <c r="E118" s="137">
        <v>724.5</v>
      </c>
      <c r="F118" s="137">
        <f t="shared" si="6"/>
        <v>3.99</v>
      </c>
      <c r="G118" s="137">
        <f t="shared" si="7"/>
        <v>2890.76</v>
      </c>
      <c r="H118" s="141">
        <v>3.99</v>
      </c>
    </row>
    <row r="119" spans="1:8" s="139" customFormat="1" ht="15.95" customHeight="1">
      <c r="A119" s="135" t="s">
        <v>977</v>
      </c>
      <c r="B119" s="135" t="s">
        <v>978</v>
      </c>
      <c r="C119" s="136" t="s">
        <v>979</v>
      </c>
      <c r="D119" s="137" t="s">
        <v>927</v>
      </c>
      <c r="E119" s="137">
        <v>507.15</v>
      </c>
      <c r="F119" s="137">
        <f t="shared" si="6"/>
        <v>5.76</v>
      </c>
      <c r="G119" s="137">
        <f t="shared" si="7"/>
        <v>2921.18</v>
      </c>
      <c r="H119" s="141">
        <v>5.76</v>
      </c>
    </row>
    <row r="120" spans="1:8" s="139" customFormat="1" ht="15.95" customHeight="1">
      <c r="A120" s="135" t="s">
        <v>980</v>
      </c>
      <c r="B120" s="135" t="s">
        <v>981</v>
      </c>
      <c r="C120" s="136" t="s">
        <v>982</v>
      </c>
      <c r="D120" s="137" t="s">
        <v>927</v>
      </c>
      <c r="E120" s="137">
        <v>362.25</v>
      </c>
      <c r="F120" s="137">
        <f t="shared" si="6"/>
        <v>7.51</v>
      </c>
      <c r="G120" s="137">
        <f t="shared" si="7"/>
        <v>2720.5</v>
      </c>
      <c r="H120" s="141">
        <v>7.51</v>
      </c>
    </row>
    <row r="121" spans="1:8" s="139" customFormat="1" ht="15.95" customHeight="1">
      <c r="A121" s="135" t="s">
        <v>983</v>
      </c>
      <c r="B121" s="135" t="s">
        <v>984</v>
      </c>
      <c r="C121" s="136" t="s">
        <v>985</v>
      </c>
      <c r="D121" s="137" t="s">
        <v>927</v>
      </c>
      <c r="E121" s="137">
        <v>289.8</v>
      </c>
      <c r="F121" s="137">
        <f t="shared" si="6"/>
        <v>9.75</v>
      </c>
      <c r="G121" s="137">
        <f t="shared" si="7"/>
        <v>2825.55</v>
      </c>
      <c r="H121" s="141">
        <v>9.75</v>
      </c>
    </row>
    <row r="122" spans="1:8" s="69" customFormat="1" ht="15.95" hidden="1" customHeight="1">
      <c r="A122" s="93"/>
      <c r="B122" s="93"/>
      <c r="C122" s="94"/>
      <c r="D122" s="95"/>
      <c r="E122" s="95"/>
      <c r="F122" s="95"/>
      <c r="G122" s="95">
        <f t="shared" ref="G122" si="8">ROUND(E122*F122,2)</f>
        <v>0</v>
      </c>
      <c r="H122" s="97">
        <v>0</v>
      </c>
    </row>
    <row r="123" spans="1:8" s="69" customFormat="1" ht="15.95" customHeight="1">
      <c r="A123" s="90" t="s">
        <v>50</v>
      </c>
      <c r="B123" s="90" t="s">
        <v>50</v>
      </c>
      <c r="C123" s="91" t="s">
        <v>986</v>
      </c>
      <c r="D123" s="82"/>
      <c r="E123" s="82"/>
      <c r="F123" s="82"/>
      <c r="G123" s="82">
        <f>SUM(G124:G126)</f>
        <v>6911.35</v>
      </c>
      <c r="H123" s="97"/>
    </row>
    <row r="124" spans="1:8" s="139" customFormat="1" ht="24.95" customHeight="1">
      <c r="A124" s="135" t="s">
        <v>987</v>
      </c>
      <c r="B124" s="135" t="s">
        <v>988</v>
      </c>
      <c r="C124" s="136" t="s">
        <v>989</v>
      </c>
      <c r="D124" s="137" t="s">
        <v>874</v>
      </c>
      <c r="E124" s="137">
        <v>14.49</v>
      </c>
      <c r="F124" s="137">
        <f>ROUND(FATOR*H124,2)</f>
        <v>275.95999999999998</v>
      </c>
      <c r="G124" s="137">
        <f>ROUND(E124*F124,2)</f>
        <v>3998.66</v>
      </c>
      <c r="H124" s="141">
        <v>275.95999999999998</v>
      </c>
    </row>
    <row r="125" spans="1:8" s="139" customFormat="1" ht="24.95" customHeight="1">
      <c r="A125" s="135" t="s">
        <v>990</v>
      </c>
      <c r="B125" s="135" t="s">
        <v>991</v>
      </c>
      <c r="C125" s="136" t="s">
        <v>992</v>
      </c>
      <c r="D125" s="137" t="s">
        <v>874</v>
      </c>
      <c r="E125" s="137">
        <v>7.25</v>
      </c>
      <c r="F125" s="137">
        <f>ROUND(FATOR*H125,2)</f>
        <v>401.75</v>
      </c>
      <c r="G125" s="137">
        <f>ROUND(E125*F125,2)</f>
        <v>2912.69</v>
      </c>
      <c r="H125" s="141">
        <v>401.75</v>
      </c>
    </row>
    <row r="126" spans="1:8" s="69" customFormat="1" ht="15.95" hidden="1" customHeight="1">
      <c r="A126" s="93"/>
      <c r="B126" s="93"/>
      <c r="C126" s="94"/>
      <c r="D126" s="95"/>
      <c r="E126" s="95"/>
      <c r="F126" s="95"/>
      <c r="G126" s="95">
        <f>ROUND(E126*F126,2)</f>
        <v>0</v>
      </c>
      <c r="H126" s="97">
        <v>0</v>
      </c>
    </row>
    <row r="127" spans="1:8" s="69" customFormat="1" ht="15.95" customHeight="1">
      <c r="A127" s="90" t="s">
        <v>51</v>
      </c>
      <c r="B127" s="90" t="s">
        <v>51</v>
      </c>
      <c r="C127" s="91" t="s">
        <v>993</v>
      </c>
      <c r="D127" s="82"/>
      <c r="E127" s="82"/>
      <c r="F127" s="82"/>
      <c r="G127" s="82">
        <f>SUM(G128:G130)</f>
        <v>13484.849999999999</v>
      </c>
      <c r="H127" s="97"/>
    </row>
    <row r="128" spans="1:8" s="139" customFormat="1" ht="15.95" customHeight="1">
      <c r="A128" s="135" t="s">
        <v>994</v>
      </c>
      <c r="B128" s="135" t="s">
        <v>995</v>
      </c>
      <c r="C128" s="136" t="s">
        <v>996</v>
      </c>
      <c r="D128" s="137" t="s">
        <v>879</v>
      </c>
      <c r="E128" s="137">
        <v>7.25</v>
      </c>
      <c r="F128" s="137">
        <f>ROUND(FATOR*H128,2)</f>
        <v>1027.8499999999999</v>
      </c>
      <c r="G128" s="137">
        <f>ROUND(E128*F128,2)</f>
        <v>7451.91</v>
      </c>
      <c r="H128" s="141">
        <v>1027.8499999999999</v>
      </c>
    </row>
    <row r="129" spans="1:8" s="139" customFormat="1" ht="15.95" customHeight="1">
      <c r="A129" s="135" t="s">
        <v>997</v>
      </c>
      <c r="B129" s="135" t="s">
        <v>998</v>
      </c>
      <c r="C129" s="136" t="s">
        <v>999</v>
      </c>
      <c r="D129" s="137" t="s">
        <v>879</v>
      </c>
      <c r="E129" s="137">
        <v>7.25</v>
      </c>
      <c r="F129" s="137">
        <f>ROUND(FATOR*H129,2)</f>
        <v>832.13</v>
      </c>
      <c r="G129" s="137">
        <f>ROUND(E129*F129,2)</f>
        <v>6032.94</v>
      </c>
      <c r="H129" s="141">
        <v>832.13</v>
      </c>
    </row>
    <row r="130" spans="1:8" s="69" customFormat="1" ht="15.95" hidden="1" customHeight="1">
      <c r="A130" s="93"/>
      <c r="B130" s="93"/>
      <c r="C130" s="94"/>
      <c r="D130" s="95"/>
      <c r="E130" s="95"/>
      <c r="F130" s="95"/>
      <c r="G130" s="95">
        <f>ROUND(E130*F130,2)</f>
        <v>0</v>
      </c>
      <c r="H130" s="97">
        <v>0</v>
      </c>
    </row>
    <row r="131" spans="1:8" s="69" customFormat="1" ht="15.95" customHeight="1">
      <c r="A131" s="90" t="s">
        <v>52</v>
      </c>
      <c r="B131" s="90" t="s">
        <v>52</v>
      </c>
      <c r="C131" s="91" t="s">
        <v>1000</v>
      </c>
      <c r="D131" s="82"/>
      <c r="E131" s="82"/>
      <c r="F131" s="82"/>
      <c r="G131" s="82">
        <f>SUM(G132:G134)</f>
        <v>19234.12</v>
      </c>
      <c r="H131" s="97"/>
    </row>
    <row r="132" spans="1:8" s="139" customFormat="1" ht="24.95" customHeight="1">
      <c r="A132" s="135" t="s">
        <v>1001</v>
      </c>
      <c r="B132" s="135" t="s">
        <v>1002</v>
      </c>
      <c r="C132" s="136" t="s">
        <v>1003</v>
      </c>
      <c r="D132" s="137" t="s">
        <v>874</v>
      </c>
      <c r="E132" s="137">
        <v>17.71</v>
      </c>
      <c r="F132" s="137">
        <f>ROUND(FATOR*H132,2)</f>
        <v>854.85</v>
      </c>
      <c r="G132" s="137">
        <f>ROUND(E132*F132,2)</f>
        <v>15139.39</v>
      </c>
      <c r="H132" s="141">
        <v>854.85</v>
      </c>
    </row>
    <row r="133" spans="1:8" s="139" customFormat="1" ht="15.95" customHeight="1">
      <c r="A133" s="135" t="s">
        <v>1004</v>
      </c>
      <c r="B133" s="135" t="s">
        <v>1005</v>
      </c>
      <c r="C133" s="136" t="s">
        <v>1006</v>
      </c>
      <c r="D133" s="137" t="s">
        <v>874</v>
      </c>
      <c r="E133" s="137">
        <v>30.59</v>
      </c>
      <c r="F133" s="137">
        <f>ROUND(FATOR*H133,2)</f>
        <v>72.45</v>
      </c>
      <c r="G133" s="137">
        <f>ROUND(E133*F133,2)</f>
        <v>2216.25</v>
      </c>
      <c r="H133" s="141">
        <v>72.45</v>
      </c>
    </row>
    <row r="134" spans="1:8" s="139" customFormat="1" ht="15.95" customHeight="1">
      <c r="A134" s="135" t="s">
        <v>1007</v>
      </c>
      <c r="B134" s="135" t="s">
        <v>1008</v>
      </c>
      <c r="C134" s="136" t="s">
        <v>1009</v>
      </c>
      <c r="D134" s="137" t="s">
        <v>874</v>
      </c>
      <c r="E134" s="137">
        <v>18.52</v>
      </c>
      <c r="F134" s="137">
        <f>ROUND(FATOR*H134,2)</f>
        <v>101.43</v>
      </c>
      <c r="G134" s="137">
        <f>ROUND(E134*F134,2)</f>
        <v>1878.48</v>
      </c>
      <c r="H134" s="141">
        <v>101.43</v>
      </c>
    </row>
    <row r="135" spans="1:8" s="69" customFormat="1" ht="15.95" customHeight="1">
      <c r="A135" s="90" t="s">
        <v>53</v>
      </c>
      <c r="B135" s="90" t="s">
        <v>53</v>
      </c>
      <c r="C135" s="91" t="s">
        <v>1010</v>
      </c>
      <c r="D135" s="82"/>
      <c r="E135" s="82"/>
      <c r="F135" s="82"/>
      <c r="G135" s="82">
        <f>SUM(G136:G145)</f>
        <v>519182.36000000004</v>
      </c>
      <c r="H135" s="97"/>
    </row>
    <row r="136" spans="1:8" s="139" customFormat="1" ht="24.95" customHeight="1">
      <c r="A136" s="135" t="s">
        <v>1011</v>
      </c>
      <c r="B136" s="135" t="s">
        <v>1012</v>
      </c>
      <c r="C136" s="136" t="s">
        <v>1013</v>
      </c>
      <c r="D136" s="137" t="s">
        <v>874</v>
      </c>
      <c r="E136" s="137">
        <v>12.08</v>
      </c>
      <c r="F136" s="137">
        <f t="shared" ref="F136:F142" si="9">ROUND(FATOR*H136,2)</f>
        <v>1140.53</v>
      </c>
      <c r="G136" s="137">
        <f t="shared" ref="G136:G142" si="10">ROUND(E136*F136,2)</f>
        <v>13777.6</v>
      </c>
      <c r="H136" s="141">
        <v>1140.53</v>
      </c>
    </row>
    <row r="137" spans="1:8" s="139" customFormat="1" ht="24.95" customHeight="1">
      <c r="A137" s="135" t="s">
        <v>1014</v>
      </c>
      <c r="B137" s="135" t="s">
        <v>1015</v>
      </c>
      <c r="C137" s="136" t="s">
        <v>1016</v>
      </c>
      <c r="D137" s="137" t="s">
        <v>874</v>
      </c>
      <c r="E137" s="137">
        <v>4.83</v>
      </c>
      <c r="F137" s="137">
        <f t="shared" si="9"/>
        <v>2119.6</v>
      </c>
      <c r="G137" s="137">
        <f t="shared" si="10"/>
        <v>10237.67</v>
      </c>
      <c r="H137" s="141">
        <v>2119.6</v>
      </c>
    </row>
    <row r="138" spans="1:8" s="139" customFormat="1" ht="15.95" customHeight="1">
      <c r="A138" s="135" t="s">
        <v>1029</v>
      </c>
      <c r="B138" s="135" t="s">
        <v>1017</v>
      </c>
      <c r="C138" s="136" t="s">
        <v>1018</v>
      </c>
      <c r="D138" s="137" t="s">
        <v>1019</v>
      </c>
      <c r="E138" s="137">
        <v>579.6</v>
      </c>
      <c r="F138" s="137">
        <f t="shared" si="9"/>
        <v>98.62</v>
      </c>
      <c r="G138" s="137">
        <f t="shared" si="10"/>
        <v>57160.15</v>
      </c>
      <c r="H138" s="141">
        <v>98.62</v>
      </c>
    </row>
    <row r="139" spans="1:8" s="139" customFormat="1" ht="15.95" customHeight="1">
      <c r="A139" s="135" t="s">
        <v>1030</v>
      </c>
      <c r="B139" s="135" t="s">
        <v>1020</v>
      </c>
      <c r="C139" s="136" t="s">
        <v>1021</v>
      </c>
      <c r="D139" s="137" t="s">
        <v>1022</v>
      </c>
      <c r="E139" s="137">
        <v>9.66</v>
      </c>
      <c r="F139" s="137">
        <f t="shared" si="9"/>
        <v>7567</v>
      </c>
      <c r="G139" s="137">
        <f t="shared" si="10"/>
        <v>73097.22</v>
      </c>
      <c r="H139" s="141">
        <v>7567</v>
      </c>
    </row>
    <row r="140" spans="1:8" s="139" customFormat="1" ht="15.95" customHeight="1">
      <c r="A140" s="135" t="s">
        <v>1031</v>
      </c>
      <c r="B140" s="135" t="s">
        <v>1023</v>
      </c>
      <c r="C140" s="136" t="s">
        <v>1024</v>
      </c>
      <c r="D140" s="137" t="s">
        <v>1019</v>
      </c>
      <c r="E140" s="137">
        <v>1288</v>
      </c>
      <c r="F140" s="137">
        <f t="shared" si="9"/>
        <v>122.34</v>
      </c>
      <c r="G140" s="137">
        <f t="shared" si="10"/>
        <v>157573.92000000001</v>
      </c>
      <c r="H140" s="141">
        <v>122.34</v>
      </c>
    </row>
    <row r="141" spans="1:8" s="139" customFormat="1" ht="15.95" customHeight="1">
      <c r="A141" s="135" t="s">
        <v>1032</v>
      </c>
      <c r="B141" s="135" t="s">
        <v>1025</v>
      </c>
      <c r="C141" s="136" t="s">
        <v>1026</v>
      </c>
      <c r="D141" s="137" t="s">
        <v>1019</v>
      </c>
      <c r="E141" s="137">
        <v>805</v>
      </c>
      <c r="F141" s="137">
        <f t="shared" si="9"/>
        <v>109.17</v>
      </c>
      <c r="G141" s="137">
        <f t="shared" si="10"/>
        <v>87881.85</v>
      </c>
      <c r="H141" s="141">
        <v>109.17</v>
      </c>
    </row>
    <row r="142" spans="1:8" s="139" customFormat="1" ht="15.95" customHeight="1">
      <c r="A142" s="135" t="s">
        <v>1033</v>
      </c>
      <c r="B142" s="135" t="s">
        <v>1027</v>
      </c>
      <c r="C142" s="136" t="s">
        <v>1028</v>
      </c>
      <c r="D142" s="137" t="s">
        <v>1019</v>
      </c>
      <c r="E142" s="137">
        <v>805</v>
      </c>
      <c r="F142" s="137">
        <f t="shared" si="9"/>
        <v>148.38999999999999</v>
      </c>
      <c r="G142" s="137">
        <f t="shared" si="10"/>
        <v>119453.95</v>
      </c>
      <c r="H142" s="141">
        <v>148.38999999999999</v>
      </c>
    </row>
    <row r="143" spans="1:8" s="69" customFormat="1" ht="15.95" hidden="1" customHeight="1">
      <c r="A143" s="93"/>
      <c r="B143" s="93"/>
      <c r="C143" s="94"/>
      <c r="D143" s="95"/>
      <c r="E143" s="95"/>
      <c r="F143" s="95"/>
      <c r="G143" s="95"/>
      <c r="H143" s="97"/>
    </row>
    <row r="144" spans="1:8" s="69" customFormat="1" ht="15.95" hidden="1" customHeight="1">
      <c r="A144" s="93"/>
      <c r="B144" s="93"/>
      <c r="C144" s="94"/>
      <c r="D144" s="95"/>
      <c r="E144" s="95"/>
      <c r="F144" s="95"/>
      <c r="G144" s="95">
        <f>ROUND(E144*F144,2)</f>
        <v>0</v>
      </c>
      <c r="H144" s="97">
        <v>0</v>
      </c>
    </row>
    <row r="145" spans="1:8" s="69" customFormat="1" ht="15.95" hidden="1" customHeight="1">
      <c r="A145" s="93"/>
      <c r="B145" s="93"/>
      <c r="C145" s="94"/>
      <c r="D145" s="95"/>
      <c r="E145" s="95"/>
      <c r="F145" s="95"/>
      <c r="G145" s="95">
        <f>ROUND(E145*F145,2)</f>
        <v>0</v>
      </c>
      <c r="H145" s="97">
        <v>0</v>
      </c>
    </row>
    <row r="146" spans="1:8" s="69" customFormat="1" ht="15.95" hidden="1" customHeight="1">
      <c r="A146" s="90" t="s">
        <v>54</v>
      </c>
      <c r="B146" s="90" t="s">
        <v>54</v>
      </c>
      <c r="C146" s="91" t="s">
        <v>55</v>
      </c>
      <c r="D146" s="82"/>
      <c r="E146" s="82"/>
      <c r="F146" s="82"/>
      <c r="G146" s="82">
        <f>SUM(G147:G149)</f>
        <v>0</v>
      </c>
      <c r="H146" s="97"/>
    </row>
    <row r="147" spans="1:8" s="69" customFormat="1" ht="15.95" hidden="1" customHeight="1">
      <c r="A147" s="93"/>
      <c r="B147" s="93"/>
      <c r="C147" s="94"/>
      <c r="D147" s="95"/>
      <c r="E147" s="95"/>
      <c r="F147" s="95"/>
      <c r="G147" s="95">
        <f>ROUND(E147*F147,2)</f>
        <v>0</v>
      </c>
      <c r="H147" s="97">
        <v>0</v>
      </c>
    </row>
    <row r="148" spans="1:8" s="69" customFormat="1" ht="15.95" hidden="1" customHeight="1">
      <c r="A148" s="93"/>
      <c r="B148" s="93"/>
      <c r="C148" s="94"/>
      <c r="D148" s="95"/>
      <c r="E148" s="95"/>
      <c r="F148" s="95"/>
      <c r="G148" s="95">
        <f>ROUND(E148*F148,2)</f>
        <v>0</v>
      </c>
      <c r="H148" s="97">
        <v>0</v>
      </c>
    </row>
    <row r="149" spans="1:8" s="69" customFormat="1" ht="15.95" hidden="1" customHeight="1">
      <c r="A149" s="93"/>
      <c r="B149" s="93"/>
      <c r="C149" s="94"/>
      <c r="D149" s="95"/>
      <c r="E149" s="95"/>
      <c r="F149" s="95"/>
      <c r="G149" s="95">
        <f>ROUND(E149*F149,2)</f>
        <v>0</v>
      </c>
      <c r="H149" s="97">
        <v>0</v>
      </c>
    </row>
    <row r="150" spans="1:8" s="69" customFormat="1" ht="15.95" hidden="1" customHeight="1">
      <c r="A150" s="90" t="s">
        <v>56</v>
      </c>
      <c r="B150" s="90" t="s">
        <v>56</v>
      </c>
      <c r="C150" s="91" t="s">
        <v>57</v>
      </c>
      <c r="D150" s="82"/>
      <c r="E150" s="82"/>
      <c r="F150" s="82"/>
      <c r="G150" s="82">
        <f>SUM(G151:G153)</f>
        <v>0</v>
      </c>
      <c r="H150" s="97"/>
    </row>
    <row r="151" spans="1:8" s="69" customFormat="1" ht="15.95" hidden="1" customHeight="1">
      <c r="A151" s="93"/>
      <c r="B151" s="93"/>
      <c r="C151" s="94"/>
      <c r="D151" s="95"/>
      <c r="E151" s="95"/>
      <c r="F151" s="95"/>
      <c r="G151" s="95">
        <f>ROUND(E151*F151,2)</f>
        <v>0</v>
      </c>
      <c r="H151" s="97">
        <v>0</v>
      </c>
    </row>
    <row r="152" spans="1:8" s="69" customFormat="1" ht="15.95" hidden="1" customHeight="1">
      <c r="A152" s="93"/>
      <c r="B152" s="93"/>
      <c r="C152" s="94"/>
      <c r="D152" s="95"/>
      <c r="E152" s="95"/>
      <c r="F152" s="95"/>
      <c r="G152" s="95">
        <f>ROUND(E152*F152,2)</f>
        <v>0</v>
      </c>
      <c r="H152" s="97">
        <v>0</v>
      </c>
    </row>
    <row r="153" spans="1:8" s="69" customFormat="1" ht="15.95" hidden="1" customHeight="1">
      <c r="A153" s="93"/>
      <c r="B153" s="93"/>
      <c r="C153" s="94"/>
      <c r="D153" s="95"/>
      <c r="E153" s="95"/>
      <c r="F153" s="95"/>
      <c r="G153" s="95">
        <f>ROUND(E153*F153,2)</f>
        <v>0</v>
      </c>
      <c r="H153" s="97">
        <v>0</v>
      </c>
    </row>
    <row r="154" spans="1:8" s="69" customFormat="1" ht="15.95" hidden="1" customHeight="1">
      <c r="A154" s="90" t="s">
        <v>58</v>
      </c>
      <c r="B154" s="90" t="s">
        <v>58</v>
      </c>
      <c r="C154" s="91" t="s">
        <v>59</v>
      </c>
      <c r="D154" s="82"/>
      <c r="E154" s="82"/>
      <c r="F154" s="82"/>
      <c r="G154" s="82">
        <f>SUM(G155:G157)</f>
        <v>0</v>
      </c>
      <c r="H154" s="97"/>
    </row>
    <row r="155" spans="1:8" s="69" customFormat="1" ht="15.95" hidden="1" customHeight="1">
      <c r="A155" s="93"/>
      <c r="B155" s="93"/>
      <c r="C155" s="94"/>
      <c r="D155" s="95"/>
      <c r="E155" s="95"/>
      <c r="F155" s="95"/>
      <c r="G155" s="95">
        <f>ROUND(E155*F155,2)</f>
        <v>0</v>
      </c>
      <c r="H155" s="97">
        <v>0</v>
      </c>
    </row>
    <row r="156" spans="1:8" s="69" customFormat="1" ht="15.95" hidden="1" customHeight="1">
      <c r="A156" s="93"/>
      <c r="B156" s="93"/>
      <c r="C156" s="94"/>
      <c r="D156" s="95"/>
      <c r="E156" s="95"/>
      <c r="F156" s="95"/>
      <c r="G156" s="95">
        <f>ROUND(E156*F156,2)</f>
        <v>0</v>
      </c>
      <c r="H156" s="97">
        <v>0</v>
      </c>
    </row>
    <row r="157" spans="1:8" s="69" customFormat="1" ht="15.95" hidden="1" customHeight="1">
      <c r="A157" s="93"/>
      <c r="B157" s="93"/>
      <c r="C157" s="94"/>
      <c r="D157" s="95"/>
      <c r="E157" s="95"/>
      <c r="F157" s="95"/>
      <c r="G157" s="95">
        <f>ROUND(E157*F157,2)</f>
        <v>0</v>
      </c>
      <c r="H157" s="97">
        <v>0</v>
      </c>
    </row>
    <row r="158" spans="1:8" s="69" customFormat="1" ht="15.95" hidden="1" customHeight="1">
      <c r="A158" s="90" t="s">
        <v>60</v>
      </c>
      <c r="B158" s="90" t="s">
        <v>60</v>
      </c>
      <c r="C158" s="91" t="s">
        <v>61</v>
      </c>
      <c r="D158" s="82"/>
      <c r="E158" s="82"/>
      <c r="F158" s="82"/>
      <c r="G158" s="82">
        <f>SUM(G159:G161)</f>
        <v>0</v>
      </c>
      <c r="H158" s="97"/>
    </row>
    <row r="159" spans="1:8" s="69" customFormat="1" ht="15.95" hidden="1" customHeight="1">
      <c r="A159" s="93"/>
      <c r="B159" s="93"/>
      <c r="C159" s="94"/>
      <c r="D159" s="95"/>
      <c r="E159" s="95"/>
      <c r="F159" s="95"/>
      <c r="G159" s="95">
        <f>ROUND(E159*F159,2)</f>
        <v>0</v>
      </c>
      <c r="H159" s="97">
        <v>0</v>
      </c>
    </row>
    <row r="160" spans="1:8" s="69" customFormat="1" ht="15.95" hidden="1" customHeight="1">
      <c r="A160" s="93"/>
      <c r="B160" s="93"/>
      <c r="C160" s="94"/>
      <c r="D160" s="95"/>
      <c r="E160" s="95"/>
      <c r="F160" s="95"/>
      <c r="G160" s="95">
        <f>ROUND(E160*F160,2)</f>
        <v>0</v>
      </c>
      <c r="H160" s="97">
        <v>0</v>
      </c>
    </row>
    <row r="161" spans="1:8" s="69" customFormat="1" ht="15.95" hidden="1" customHeight="1">
      <c r="A161" s="93"/>
      <c r="B161" s="93"/>
      <c r="C161" s="94"/>
      <c r="D161" s="95"/>
      <c r="E161" s="95"/>
      <c r="F161" s="95"/>
      <c r="G161" s="95">
        <f>ROUND(E161*F161,2)</f>
        <v>0</v>
      </c>
      <c r="H161" s="97">
        <v>0</v>
      </c>
    </row>
    <row r="162" spans="1:8" s="69" customFormat="1" ht="15.95" hidden="1" customHeight="1">
      <c r="A162" s="90" t="s">
        <v>62</v>
      </c>
      <c r="B162" s="90" t="s">
        <v>62</v>
      </c>
      <c r="C162" s="91" t="s">
        <v>63</v>
      </c>
      <c r="D162" s="82"/>
      <c r="E162" s="82"/>
      <c r="F162" s="82"/>
      <c r="G162" s="82">
        <f>SUM(G163:G165)</f>
        <v>0</v>
      </c>
      <c r="H162" s="97"/>
    </row>
    <row r="163" spans="1:8" s="69" customFormat="1" ht="15.95" hidden="1" customHeight="1">
      <c r="A163" s="93"/>
      <c r="B163" s="93"/>
      <c r="C163" s="94"/>
      <c r="D163" s="95"/>
      <c r="E163" s="95"/>
      <c r="F163" s="95"/>
      <c r="G163" s="95">
        <f>ROUND(E163*F163,2)</f>
        <v>0</v>
      </c>
      <c r="H163" s="97">
        <v>0</v>
      </c>
    </row>
    <row r="164" spans="1:8" s="69" customFormat="1" ht="15.95" hidden="1" customHeight="1">
      <c r="A164" s="93"/>
      <c r="B164" s="93"/>
      <c r="C164" s="94"/>
      <c r="D164" s="95"/>
      <c r="E164" s="95"/>
      <c r="F164" s="95"/>
      <c r="G164" s="95">
        <f>ROUND(E164*F164,2)</f>
        <v>0</v>
      </c>
      <c r="H164" s="97">
        <v>0</v>
      </c>
    </row>
    <row r="165" spans="1:8" s="69" customFormat="1" ht="15.95" hidden="1" customHeight="1">
      <c r="A165" s="93"/>
      <c r="B165" s="93"/>
      <c r="C165" s="94"/>
      <c r="D165" s="95"/>
      <c r="E165" s="95"/>
      <c r="F165" s="95"/>
      <c r="G165" s="95">
        <f>ROUND(E165*F165,2)</f>
        <v>0</v>
      </c>
      <c r="H165" s="97">
        <v>0</v>
      </c>
    </row>
    <row r="166" spans="1:8" s="69" customFormat="1" ht="15.95" hidden="1" customHeight="1">
      <c r="A166" s="90" t="s">
        <v>64</v>
      </c>
      <c r="B166" s="90" t="s">
        <v>64</v>
      </c>
      <c r="C166" s="91" t="s">
        <v>65</v>
      </c>
      <c r="D166" s="82"/>
      <c r="E166" s="82"/>
      <c r="F166" s="82"/>
      <c r="G166" s="82">
        <f>SUM(G167:G169)</f>
        <v>0</v>
      </c>
      <c r="H166" s="97"/>
    </row>
    <row r="167" spans="1:8" s="69" customFormat="1" ht="15.95" hidden="1" customHeight="1">
      <c r="A167" s="93"/>
      <c r="B167" s="93"/>
      <c r="C167" s="94"/>
      <c r="D167" s="95"/>
      <c r="E167" s="95"/>
      <c r="F167" s="95"/>
      <c r="G167" s="95">
        <f>ROUND(E167*F167,2)</f>
        <v>0</v>
      </c>
      <c r="H167" s="97">
        <v>0</v>
      </c>
    </row>
    <row r="168" spans="1:8" s="69" customFormat="1" ht="15.95" hidden="1" customHeight="1">
      <c r="A168" s="93"/>
      <c r="B168" s="93"/>
      <c r="C168" s="94"/>
      <c r="D168" s="95"/>
      <c r="E168" s="95"/>
      <c r="F168" s="95"/>
      <c r="G168" s="95">
        <f>ROUND(E168*F168,2)</f>
        <v>0</v>
      </c>
      <c r="H168" s="97">
        <v>0</v>
      </c>
    </row>
    <row r="169" spans="1:8" s="69" customFormat="1" ht="15.95" hidden="1" customHeight="1">
      <c r="A169" s="93"/>
      <c r="B169" s="93"/>
      <c r="C169" s="94"/>
      <c r="D169" s="95"/>
      <c r="E169" s="95"/>
      <c r="F169" s="95"/>
      <c r="G169" s="95">
        <f>ROUND(E169*F169,2)</f>
        <v>0</v>
      </c>
      <c r="H169" s="97">
        <v>0</v>
      </c>
    </row>
    <row r="170" spans="1:8" s="69" customFormat="1" ht="15.95" hidden="1" customHeight="1">
      <c r="A170" s="90" t="s">
        <v>66</v>
      </c>
      <c r="B170" s="90" t="s">
        <v>66</v>
      </c>
      <c r="C170" s="91" t="s">
        <v>67</v>
      </c>
      <c r="D170" s="82"/>
      <c r="E170" s="82"/>
      <c r="F170" s="82"/>
      <c r="G170" s="82">
        <f>SUM(G171:G173)</f>
        <v>0</v>
      </c>
      <c r="H170" s="97"/>
    </row>
    <row r="171" spans="1:8" s="69" customFormat="1" ht="15.95" hidden="1" customHeight="1">
      <c r="A171" s="93"/>
      <c r="B171" s="93"/>
      <c r="C171" s="94"/>
      <c r="D171" s="95"/>
      <c r="E171" s="95"/>
      <c r="F171" s="95"/>
      <c r="G171" s="95">
        <f>ROUND(E171*F171,2)</f>
        <v>0</v>
      </c>
      <c r="H171" s="97">
        <v>0</v>
      </c>
    </row>
    <row r="172" spans="1:8" s="69" customFormat="1" ht="15.95" hidden="1" customHeight="1">
      <c r="A172" s="93"/>
      <c r="B172" s="93"/>
      <c r="C172" s="94"/>
      <c r="D172" s="95"/>
      <c r="E172" s="95"/>
      <c r="F172" s="95"/>
      <c r="G172" s="95">
        <f>ROUND(E172*F172,2)</f>
        <v>0</v>
      </c>
      <c r="H172" s="97">
        <v>0</v>
      </c>
    </row>
    <row r="173" spans="1:8" s="69" customFormat="1" ht="15.95" hidden="1" customHeight="1">
      <c r="A173" s="93"/>
      <c r="B173" s="93"/>
      <c r="C173" s="94"/>
      <c r="D173" s="95"/>
      <c r="E173" s="95"/>
      <c r="F173" s="95"/>
      <c r="G173" s="95">
        <f>ROUND(E173*F173,2)</f>
        <v>0</v>
      </c>
      <c r="H173" s="97">
        <v>0</v>
      </c>
    </row>
    <row r="174" spans="1:8" s="69" customFormat="1" ht="15.95" hidden="1" customHeight="1">
      <c r="A174" s="90" t="s">
        <v>68</v>
      </c>
      <c r="B174" s="90" t="s">
        <v>68</v>
      </c>
      <c r="C174" s="91" t="s">
        <v>69</v>
      </c>
      <c r="D174" s="82"/>
      <c r="E174" s="82"/>
      <c r="F174" s="82"/>
      <c r="G174" s="82">
        <f>SUM(G175:G177)</f>
        <v>0</v>
      </c>
      <c r="H174" s="97"/>
    </row>
    <row r="175" spans="1:8" s="69" customFormat="1" ht="15.95" hidden="1" customHeight="1">
      <c r="A175" s="93"/>
      <c r="B175" s="93"/>
      <c r="C175" s="94"/>
      <c r="D175" s="95"/>
      <c r="E175" s="95"/>
      <c r="F175" s="95"/>
      <c r="G175" s="95">
        <f>ROUND(E175*F175,2)</f>
        <v>0</v>
      </c>
      <c r="H175" s="97">
        <v>0</v>
      </c>
    </row>
    <row r="176" spans="1:8" s="69" customFormat="1" ht="15.95" hidden="1" customHeight="1">
      <c r="A176" s="93"/>
      <c r="B176" s="93"/>
      <c r="C176" s="94"/>
      <c r="D176" s="95"/>
      <c r="E176" s="95"/>
      <c r="F176" s="95"/>
      <c r="G176" s="95">
        <f>ROUND(E176*F176,2)</f>
        <v>0</v>
      </c>
      <c r="H176" s="97">
        <v>0</v>
      </c>
    </row>
    <row r="177" spans="1:8" s="69" customFormat="1" ht="15.95" hidden="1" customHeight="1">
      <c r="A177" s="93"/>
      <c r="B177" s="93"/>
      <c r="C177" s="94"/>
      <c r="D177" s="95"/>
      <c r="E177" s="95"/>
      <c r="F177" s="95"/>
      <c r="G177" s="95">
        <f>ROUND(E177*F177,2)</f>
        <v>0</v>
      </c>
      <c r="H177" s="97">
        <v>0</v>
      </c>
    </row>
    <row r="178" spans="1:8" s="69" customFormat="1" ht="15.95" hidden="1" customHeight="1">
      <c r="A178" s="90" t="s">
        <v>70</v>
      </c>
      <c r="B178" s="90" t="s">
        <v>70</v>
      </c>
      <c r="C178" s="91" t="s">
        <v>71</v>
      </c>
      <c r="D178" s="82"/>
      <c r="E178" s="82"/>
      <c r="F178" s="82"/>
      <c r="G178" s="82">
        <f>SUM(G179:G181)</f>
        <v>0</v>
      </c>
      <c r="H178" s="97"/>
    </row>
    <row r="179" spans="1:8" s="69" customFormat="1" ht="15.95" hidden="1" customHeight="1">
      <c r="A179" s="93"/>
      <c r="B179" s="93"/>
      <c r="C179" s="94"/>
      <c r="D179" s="95"/>
      <c r="E179" s="95"/>
      <c r="F179" s="95"/>
      <c r="G179" s="95">
        <f>ROUND(E179*F179,2)</f>
        <v>0</v>
      </c>
      <c r="H179" s="97">
        <v>0</v>
      </c>
    </row>
    <row r="180" spans="1:8" s="69" customFormat="1" ht="15.95" hidden="1" customHeight="1">
      <c r="A180" s="93"/>
      <c r="B180" s="93"/>
      <c r="C180" s="94"/>
      <c r="D180" s="95"/>
      <c r="E180" s="95"/>
      <c r="F180" s="95"/>
      <c r="G180" s="95">
        <f>ROUND(E180*F180,2)</f>
        <v>0</v>
      </c>
      <c r="H180" s="97">
        <v>0</v>
      </c>
    </row>
    <row r="181" spans="1:8" s="69" customFormat="1" ht="15.95" hidden="1" customHeight="1">
      <c r="A181" s="93"/>
      <c r="B181" s="93"/>
      <c r="C181" s="94"/>
      <c r="D181" s="95"/>
      <c r="E181" s="95"/>
      <c r="F181" s="95"/>
      <c r="G181" s="95">
        <f>ROUND(E181*F181,2)</f>
        <v>0</v>
      </c>
      <c r="H181" s="97">
        <v>0</v>
      </c>
    </row>
    <row r="182" spans="1:8" s="69" customFormat="1" ht="15.95" hidden="1" customHeight="1">
      <c r="A182" s="104" t="s">
        <v>72</v>
      </c>
      <c r="B182" s="104" t="s">
        <v>72</v>
      </c>
      <c r="C182" s="105" t="s">
        <v>73</v>
      </c>
      <c r="D182" s="92"/>
      <c r="E182" s="92"/>
      <c r="F182" s="92"/>
      <c r="G182" s="92">
        <f>SUM(G183:G185)</f>
        <v>0</v>
      </c>
      <c r="H182" s="97"/>
    </row>
    <row r="183" spans="1:8" s="69" customFormat="1" ht="15.95" hidden="1" customHeight="1">
      <c r="A183" s="93"/>
      <c r="B183" s="93"/>
      <c r="C183" s="94"/>
      <c r="D183" s="95"/>
      <c r="E183" s="95"/>
      <c r="F183" s="95"/>
      <c r="G183" s="95">
        <f>ROUND(E183*F183,2)</f>
        <v>0</v>
      </c>
      <c r="H183" s="96">
        <v>0</v>
      </c>
    </row>
    <row r="184" spans="1:8" s="69" customFormat="1" ht="15.95" hidden="1" customHeight="1">
      <c r="A184" s="93"/>
      <c r="B184" s="93"/>
      <c r="C184" s="94"/>
      <c r="D184" s="95"/>
      <c r="E184" s="95"/>
      <c r="F184" s="95"/>
      <c r="G184" s="95">
        <f>ROUND(E184*F184,2)</f>
        <v>0</v>
      </c>
      <c r="H184" s="96">
        <v>0</v>
      </c>
    </row>
    <row r="185" spans="1:8" s="69" customFormat="1" ht="15.95" hidden="1" customHeight="1">
      <c r="A185" s="93"/>
      <c r="B185" s="93"/>
      <c r="C185" s="94"/>
      <c r="D185" s="95"/>
      <c r="E185" s="95"/>
      <c r="F185" s="95"/>
      <c r="G185" s="95">
        <f>ROUND(E185*F185,2)</f>
        <v>0</v>
      </c>
      <c r="H185" s="96">
        <v>0</v>
      </c>
    </row>
    <row r="186" spans="1:8" s="69" customFormat="1" ht="15.95" hidden="1" customHeight="1">
      <c r="A186" s="90" t="s">
        <v>74</v>
      </c>
      <c r="B186" s="90" t="s">
        <v>74</v>
      </c>
      <c r="C186" s="91" t="s">
        <v>75</v>
      </c>
      <c r="D186" s="82"/>
      <c r="E186" s="82"/>
      <c r="F186" s="82"/>
      <c r="G186" s="82">
        <f>SUM(G187:G189)</f>
        <v>0</v>
      </c>
      <c r="H186" s="97"/>
    </row>
    <row r="187" spans="1:8" s="69" customFormat="1" ht="15.95" hidden="1" customHeight="1">
      <c r="A187" s="93"/>
      <c r="B187" s="93"/>
      <c r="C187" s="94"/>
      <c r="D187" s="95"/>
      <c r="E187" s="95"/>
      <c r="F187" s="95"/>
      <c r="G187" s="95">
        <f>ROUND(E187*F187,2)</f>
        <v>0</v>
      </c>
      <c r="H187" s="96">
        <v>0</v>
      </c>
    </row>
    <row r="188" spans="1:8" s="69" customFormat="1" ht="15.95" hidden="1" customHeight="1">
      <c r="A188" s="93"/>
      <c r="B188" s="93"/>
      <c r="C188" s="94"/>
      <c r="D188" s="95"/>
      <c r="E188" s="95"/>
      <c r="F188" s="95"/>
      <c r="G188" s="95">
        <f>ROUND(E188*F188,2)</f>
        <v>0</v>
      </c>
      <c r="H188" s="96">
        <v>0</v>
      </c>
    </row>
    <row r="189" spans="1:8" s="69" customFormat="1" ht="15.95" hidden="1" customHeight="1">
      <c r="A189" s="93"/>
      <c r="B189" s="93"/>
      <c r="C189" s="94"/>
      <c r="D189" s="95"/>
      <c r="E189" s="95"/>
      <c r="F189" s="95"/>
      <c r="G189" s="95">
        <f>ROUND(E189*F189,2)</f>
        <v>0</v>
      </c>
      <c r="H189" s="96">
        <v>0</v>
      </c>
    </row>
    <row r="190" spans="1:8" s="69" customFormat="1" ht="15.95" hidden="1" customHeight="1">
      <c r="A190" s="90" t="s">
        <v>76</v>
      </c>
      <c r="B190" s="90" t="s">
        <v>76</v>
      </c>
      <c r="C190" s="91" t="s">
        <v>77</v>
      </c>
      <c r="D190" s="82"/>
      <c r="E190" s="82"/>
      <c r="F190" s="82"/>
      <c r="G190" s="82">
        <f>SUM(G191:G193)</f>
        <v>0</v>
      </c>
      <c r="H190" s="97"/>
    </row>
    <row r="191" spans="1:8" s="69" customFormat="1" ht="15.95" hidden="1" customHeight="1">
      <c r="A191" s="93"/>
      <c r="B191" s="93"/>
      <c r="C191" s="94"/>
      <c r="D191" s="95"/>
      <c r="E191" s="95"/>
      <c r="F191" s="95"/>
      <c r="G191" s="95">
        <f>ROUND(E191*F191,2)</f>
        <v>0</v>
      </c>
      <c r="H191" s="96">
        <v>0</v>
      </c>
    </row>
    <row r="192" spans="1:8" s="69" customFormat="1" ht="15.95" hidden="1" customHeight="1">
      <c r="A192" s="93"/>
      <c r="B192" s="93"/>
      <c r="C192" s="94"/>
      <c r="D192" s="95"/>
      <c r="E192" s="95"/>
      <c r="F192" s="95"/>
      <c r="G192" s="95">
        <f>ROUND(E192*F192,2)</f>
        <v>0</v>
      </c>
      <c r="H192" s="96">
        <v>0</v>
      </c>
    </row>
    <row r="193" spans="1:8" s="69" customFormat="1" ht="15.95" hidden="1" customHeight="1">
      <c r="A193" s="93"/>
      <c r="B193" s="93"/>
      <c r="C193" s="94"/>
      <c r="D193" s="95"/>
      <c r="E193" s="95"/>
      <c r="F193" s="95"/>
      <c r="G193" s="95">
        <f>ROUND(E193*F193,2)</f>
        <v>0</v>
      </c>
      <c r="H193" s="96">
        <v>0</v>
      </c>
    </row>
    <row r="194" spans="1:8" s="69" customFormat="1" ht="15.95" hidden="1" customHeight="1">
      <c r="A194" s="90" t="s">
        <v>78</v>
      </c>
      <c r="B194" s="90" t="s">
        <v>78</v>
      </c>
      <c r="C194" s="91" t="s">
        <v>79</v>
      </c>
      <c r="D194" s="82"/>
      <c r="E194" s="82"/>
      <c r="F194" s="82"/>
      <c r="G194" s="82">
        <f>SUM(G195:G197)</f>
        <v>0</v>
      </c>
      <c r="H194" s="97"/>
    </row>
    <row r="195" spans="1:8" s="69" customFormat="1" ht="15.95" hidden="1" customHeight="1">
      <c r="A195" s="93"/>
      <c r="B195" s="93"/>
      <c r="C195" s="94"/>
      <c r="D195" s="95"/>
      <c r="E195" s="95"/>
      <c r="F195" s="95"/>
      <c r="G195" s="95">
        <f>ROUND(E195*F195,2)</f>
        <v>0</v>
      </c>
      <c r="H195" s="96">
        <v>0</v>
      </c>
    </row>
    <row r="196" spans="1:8" s="69" customFormat="1" ht="15.95" hidden="1" customHeight="1">
      <c r="A196" s="93"/>
      <c r="B196" s="93"/>
      <c r="C196" s="94"/>
      <c r="D196" s="95"/>
      <c r="E196" s="95"/>
      <c r="F196" s="95"/>
      <c r="G196" s="95">
        <f>ROUND(E196*F196,2)</f>
        <v>0</v>
      </c>
      <c r="H196" s="96">
        <v>0</v>
      </c>
    </row>
    <row r="197" spans="1:8" s="69" customFormat="1" ht="15.95" hidden="1" customHeight="1">
      <c r="A197" s="93"/>
      <c r="B197" s="93"/>
      <c r="C197" s="94"/>
      <c r="D197" s="95"/>
      <c r="E197" s="95"/>
      <c r="F197" s="95"/>
      <c r="G197" s="95">
        <f>ROUND(E197*F197,2)</f>
        <v>0</v>
      </c>
      <c r="H197" s="96">
        <v>0</v>
      </c>
    </row>
    <row r="198" spans="1:8" s="69" customFormat="1" ht="15.95" hidden="1" customHeight="1">
      <c r="A198" s="90" t="s">
        <v>80</v>
      </c>
      <c r="B198" s="90" t="s">
        <v>80</v>
      </c>
      <c r="C198" s="91" t="s">
        <v>81</v>
      </c>
      <c r="D198" s="82"/>
      <c r="E198" s="82"/>
      <c r="F198" s="82"/>
      <c r="G198" s="82">
        <f>SUM(G199:G201)</f>
        <v>0</v>
      </c>
      <c r="H198" s="97"/>
    </row>
    <row r="199" spans="1:8" s="69" customFormat="1" ht="15.95" hidden="1" customHeight="1">
      <c r="A199" s="93"/>
      <c r="B199" s="93"/>
      <c r="C199" s="94"/>
      <c r="D199" s="95"/>
      <c r="E199" s="95"/>
      <c r="F199" s="95"/>
      <c r="G199" s="95">
        <f>ROUND(E199*F199,2)</f>
        <v>0</v>
      </c>
      <c r="H199" s="96">
        <v>0</v>
      </c>
    </row>
    <row r="200" spans="1:8" s="69" customFormat="1" ht="15.95" hidden="1" customHeight="1">
      <c r="A200" s="93"/>
      <c r="B200" s="93"/>
      <c r="C200" s="94"/>
      <c r="D200" s="95"/>
      <c r="E200" s="95"/>
      <c r="F200" s="95"/>
      <c r="G200" s="95">
        <f>ROUND(E200*F200,2)</f>
        <v>0</v>
      </c>
      <c r="H200" s="96">
        <v>0</v>
      </c>
    </row>
    <row r="201" spans="1:8" s="69" customFormat="1" ht="15.95" hidden="1" customHeight="1">
      <c r="A201" s="93"/>
      <c r="B201" s="93"/>
      <c r="C201" s="94"/>
      <c r="D201" s="95"/>
      <c r="E201" s="95"/>
      <c r="F201" s="95"/>
      <c r="G201" s="95">
        <f>ROUND(E201*F201,2)</f>
        <v>0</v>
      </c>
      <c r="H201" s="96">
        <v>0</v>
      </c>
    </row>
    <row r="202" spans="1:8" s="69" customFormat="1" ht="15.95" hidden="1" customHeight="1">
      <c r="A202" s="83"/>
      <c r="B202" s="83"/>
      <c r="C202" s="84" t="s">
        <v>82</v>
      </c>
      <c r="D202" s="85"/>
      <c r="E202" s="85"/>
      <c r="F202" s="85"/>
      <c r="G202" s="85"/>
      <c r="H202" s="97"/>
    </row>
    <row r="203" spans="1:8" s="69" customFormat="1" ht="15.95" customHeight="1">
      <c r="A203" s="87" t="s">
        <v>83</v>
      </c>
      <c r="B203" s="87" t="s">
        <v>83</v>
      </c>
      <c r="C203" s="88" t="s">
        <v>1034</v>
      </c>
      <c r="D203" s="89"/>
      <c r="E203" s="89"/>
      <c r="F203" s="89"/>
      <c r="G203" s="89">
        <f>SG_03_01+SG_03_02+SG_03_03+SG_03_04+SG_03_05+SG_03_06+SG_03_07+SG_03_08+SG_03_09+SG_03_10+SG_03_11+SG_03_12+SG_03_13+SG_03_14+SG_03_15+SG_03_16+SG_03_17+SG_03_18+SG_03_19+SG_03_20</f>
        <v>878154.42999999993</v>
      </c>
      <c r="H203" s="97"/>
    </row>
    <row r="204" spans="1:8" s="69" customFormat="1" ht="15.95" customHeight="1">
      <c r="A204" s="90" t="s">
        <v>84</v>
      </c>
      <c r="B204" s="90" t="s">
        <v>84</v>
      </c>
      <c r="C204" s="91" t="s">
        <v>1035</v>
      </c>
      <c r="D204" s="82"/>
      <c r="E204" s="82"/>
      <c r="F204" s="82"/>
      <c r="G204" s="82">
        <f>SUM(G205:G210)</f>
        <v>305993.52999999997</v>
      </c>
      <c r="H204" s="97"/>
    </row>
    <row r="205" spans="1:8" s="139" customFormat="1" ht="24.95" customHeight="1">
      <c r="A205" s="135" t="s">
        <v>1036</v>
      </c>
      <c r="B205" s="135" t="s">
        <v>1037</v>
      </c>
      <c r="C205" s="136" t="s">
        <v>1038</v>
      </c>
      <c r="D205" s="137" t="s">
        <v>927</v>
      </c>
      <c r="E205" s="137">
        <v>676.2</v>
      </c>
      <c r="F205" s="137">
        <f>ROUND(FATOR*H205,2)</f>
        <v>115.87</v>
      </c>
      <c r="G205" s="137">
        <f>ROUND(E205*F205,2)</f>
        <v>78351.289999999994</v>
      </c>
      <c r="H205" s="141">
        <v>115.87</v>
      </c>
    </row>
    <row r="206" spans="1:8" s="139" customFormat="1" ht="24.95" customHeight="1">
      <c r="A206" s="135" t="s">
        <v>1039</v>
      </c>
      <c r="B206" s="135" t="s">
        <v>1040</v>
      </c>
      <c r="C206" s="136" t="s">
        <v>1041</v>
      </c>
      <c r="D206" s="137" t="s">
        <v>927</v>
      </c>
      <c r="E206" s="137">
        <v>676.2</v>
      </c>
      <c r="F206" s="137">
        <f>ROUND(FATOR*H206,2)</f>
        <v>84.92</v>
      </c>
      <c r="G206" s="137">
        <f>ROUND(E206*F206,2)</f>
        <v>57422.9</v>
      </c>
      <c r="H206" s="141">
        <v>84.92</v>
      </c>
    </row>
    <row r="207" spans="1:8" s="139" customFormat="1" ht="15.95" customHeight="1">
      <c r="A207" s="135" t="s">
        <v>1042</v>
      </c>
      <c r="B207" s="135" t="s">
        <v>1043</v>
      </c>
      <c r="C207" s="136" t="s">
        <v>1044</v>
      </c>
      <c r="D207" s="137" t="s">
        <v>927</v>
      </c>
      <c r="E207" s="137">
        <v>676.2</v>
      </c>
      <c r="F207" s="137">
        <f>ROUND(FATOR*H207,2)</f>
        <v>81.12</v>
      </c>
      <c r="G207" s="137">
        <f>ROUND(E207*F207,2)</f>
        <v>54853.34</v>
      </c>
      <c r="H207" s="141">
        <v>81.12</v>
      </c>
    </row>
    <row r="208" spans="1:8" s="139" customFormat="1" ht="24.95" customHeight="1">
      <c r="A208" s="135" t="s">
        <v>1045</v>
      </c>
      <c r="B208" s="135" t="s">
        <v>1046</v>
      </c>
      <c r="C208" s="136" t="s">
        <v>1047</v>
      </c>
      <c r="D208" s="137" t="s">
        <v>874</v>
      </c>
      <c r="E208" s="137">
        <v>177.1</v>
      </c>
      <c r="F208" s="137">
        <f>ROUND(FATOR*H208,2)</f>
        <v>246.29</v>
      </c>
      <c r="G208" s="137">
        <f>ROUND(E208*F208,2)</f>
        <v>43617.96</v>
      </c>
      <c r="H208" s="141">
        <v>246.29</v>
      </c>
    </row>
    <row r="209" spans="1:8" s="139" customFormat="1" ht="24.95" customHeight="1">
      <c r="A209" s="135" t="s">
        <v>1048</v>
      </c>
      <c r="B209" s="135" t="s">
        <v>1049</v>
      </c>
      <c r="C209" s="136" t="s">
        <v>1050</v>
      </c>
      <c r="D209" s="137" t="s">
        <v>874</v>
      </c>
      <c r="E209" s="137">
        <v>161</v>
      </c>
      <c r="F209" s="137">
        <f>ROUND(FATOR*H209,2)</f>
        <v>445.64</v>
      </c>
      <c r="G209" s="137">
        <f>ROUND(E209*F209,2)</f>
        <v>71748.039999999994</v>
      </c>
      <c r="H209" s="141">
        <v>445.64</v>
      </c>
    </row>
    <row r="210" spans="1:8" s="69" customFormat="1" ht="15.95" hidden="1" customHeight="1">
      <c r="A210" s="93"/>
      <c r="B210" s="93"/>
      <c r="C210" s="94"/>
      <c r="D210" s="95"/>
      <c r="E210" s="95"/>
      <c r="F210" s="95"/>
      <c r="G210" s="95">
        <f t="shared" ref="G210" si="11">ROUND(E210*F210,2)</f>
        <v>0</v>
      </c>
      <c r="H210" s="97">
        <v>0</v>
      </c>
    </row>
    <row r="211" spans="1:8" s="69" customFormat="1" ht="15.95" customHeight="1">
      <c r="A211" s="90" t="s">
        <v>85</v>
      </c>
      <c r="B211" s="90" t="s">
        <v>85</v>
      </c>
      <c r="C211" s="91" t="s">
        <v>1051</v>
      </c>
      <c r="D211" s="82"/>
      <c r="E211" s="82"/>
      <c r="F211" s="82"/>
      <c r="G211" s="82">
        <f>SUM(G212:G217)</f>
        <v>451049.15</v>
      </c>
      <c r="H211" s="97"/>
    </row>
    <row r="212" spans="1:8" s="139" customFormat="1" ht="24.95" customHeight="1">
      <c r="A212" s="135" t="s">
        <v>1052</v>
      </c>
      <c r="B212" s="135" t="s">
        <v>1053</v>
      </c>
      <c r="C212" s="136" t="s">
        <v>1054</v>
      </c>
      <c r="D212" s="137" t="s">
        <v>927</v>
      </c>
      <c r="E212" s="137">
        <v>4226.25</v>
      </c>
      <c r="F212" s="137">
        <f>ROUND(FATOR*H212,2)</f>
        <v>56.84</v>
      </c>
      <c r="G212" s="137">
        <f>ROUND(E212*F212,2)</f>
        <v>240220.05</v>
      </c>
      <c r="H212" s="141">
        <v>56.84</v>
      </c>
    </row>
    <row r="213" spans="1:8" s="139" customFormat="1" ht="15.95" customHeight="1">
      <c r="A213" s="135" t="s">
        <v>1055</v>
      </c>
      <c r="B213" s="135" t="s">
        <v>1056</v>
      </c>
      <c r="C213" s="136" t="s">
        <v>1057</v>
      </c>
      <c r="D213" s="137" t="s">
        <v>927</v>
      </c>
      <c r="E213" s="137">
        <v>1207.5</v>
      </c>
      <c r="F213" s="137">
        <f>ROUND(FATOR*H213,2)</f>
        <v>38.01</v>
      </c>
      <c r="G213" s="137">
        <f>ROUND(E213*F213,2)</f>
        <v>45897.08</v>
      </c>
      <c r="H213" s="141">
        <v>38.01</v>
      </c>
    </row>
    <row r="214" spans="1:8" s="139" customFormat="1" ht="24.95" customHeight="1">
      <c r="A214" s="135" t="s">
        <v>1058</v>
      </c>
      <c r="B214" s="135" t="s">
        <v>1059</v>
      </c>
      <c r="C214" s="136" t="s">
        <v>1060</v>
      </c>
      <c r="D214" s="137" t="s">
        <v>874</v>
      </c>
      <c r="E214" s="137">
        <v>161</v>
      </c>
      <c r="F214" s="137">
        <f>ROUND(FATOR*H214,2)</f>
        <v>616.98</v>
      </c>
      <c r="G214" s="137">
        <f>ROUND(E214*F214,2)</f>
        <v>99333.78</v>
      </c>
      <c r="H214" s="141">
        <v>616.98</v>
      </c>
    </row>
    <row r="215" spans="1:8" s="139" customFormat="1" ht="24.95" customHeight="1">
      <c r="A215" s="135" t="s">
        <v>1061</v>
      </c>
      <c r="B215" s="135" t="s">
        <v>1062</v>
      </c>
      <c r="C215" s="136" t="s">
        <v>1063</v>
      </c>
      <c r="D215" s="137" t="s">
        <v>874</v>
      </c>
      <c r="E215" s="137">
        <v>161</v>
      </c>
      <c r="F215" s="137">
        <f>ROUND(FATOR*H215,2)</f>
        <v>355.97</v>
      </c>
      <c r="G215" s="137">
        <f>ROUND(E215*F215,2)</f>
        <v>57311.17</v>
      </c>
      <c r="H215" s="141">
        <v>355.97</v>
      </c>
    </row>
    <row r="216" spans="1:8" s="139" customFormat="1" ht="24.95" customHeight="1">
      <c r="A216" s="135" t="s">
        <v>1064</v>
      </c>
      <c r="B216" s="135" t="s">
        <v>1065</v>
      </c>
      <c r="C216" s="136" t="s">
        <v>1066</v>
      </c>
      <c r="D216" s="137" t="s">
        <v>874</v>
      </c>
      <c r="E216" s="137">
        <v>120.75</v>
      </c>
      <c r="F216" s="137">
        <f>ROUND(FATOR*H216,2)</f>
        <v>68.63</v>
      </c>
      <c r="G216" s="137">
        <f>ROUND(E216*F216,2)</f>
        <v>8287.07</v>
      </c>
      <c r="H216" s="141">
        <v>68.63</v>
      </c>
    </row>
    <row r="217" spans="1:8" s="69" customFormat="1" ht="15.95" hidden="1" customHeight="1">
      <c r="A217" s="93"/>
      <c r="B217" s="93"/>
      <c r="C217" s="94"/>
      <c r="D217" s="95"/>
      <c r="E217" s="95"/>
      <c r="F217" s="95"/>
      <c r="G217" s="95">
        <f t="shared" ref="G217" si="12">ROUND(E217*F217,2)</f>
        <v>0</v>
      </c>
      <c r="H217" s="97">
        <v>0</v>
      </c>
    </row>
    <row r="218" spans="1:8" s="69" customFormat="1" ht="15.95" customHeight="1">
      <c r="A218" s="90" t="s">
        <v>86</v>
      </c>
      <c r="B218" s="90" t="s">
        <v>86</v>
      </c>
      <c r="C218" s="91" t="s">
        <v>1067</v>
      </c>
      <c r="D218" s="82"/>
      <c r="E218" s="82"/>
      <c r="F218" s="82"/>
      <c r="G218" s="82">
        <f>SUM(G219:G223)</f>
        <v>25845.79</v>
      </c>
      <c r="H218" s="97"/>
    </row>
    <row r="219" spans="1:8" s="139" customFormat="1" ht="15.95" customHeight="1">
      <c r="A219" s="135" t="s">
        <v>1068</v>
      </c>
      <c r="B219" s="135" t="s">
        <v>1069</v>
      </c>
      <c r="C219" s="136" t="s">
        <v>1070</v>
      </c>
      <c r="D219" s="137" t="s">
        <v>874</v>
      </c>
      <c r="E219" s="137">
        <v>23.35</v>
      </c>
      <c r="F219" s="137">
        <f>ROUND(FATOR*H219,2)</f>
        <v>95.42</v>
      </c>
      <c r="G219" s="137">
        <f>ROUND(E219*F219,2)</f>
        <v>2228.06</v>
      </c>
      <c r="H219" s="141">
        <v>95.42</v>
      </c>
    </row>
    <row r="220" spans="1:8" s="139" customFormat="1" ht="24.95" customHeight="1">
      <c r="A220" s="135" t="s">
        <v>1071</v>
      </c>
      <c r="B220" s="135" t="s">
        <v>1072</v>
      </c>
      <c r="C220" s="136" t="s">
        <v>1073</v>
      </c>
      <c r="D220" s="137" t="s">
        <v>927</v>
      </c>
      <c r="E220" s="137">
        <v>2221.8000000000002</v>
      </c>
      <c r="F220" s="137">
        <f>ROUND(FATOR*H220,2)</f>
        <v>2.78</v>
      </c>
      <c r="G220" s="137">
        <f>ROUND(E220*F220,2)</f>
        <v>6176.6</v>
      </c>
      <c r="H220" s="141">
        <v>2.78</v>
      </c>
    </row>
    <row r="221" spans="1:8" s="139" customFormat="1" ht="15.95" customHeight="1">
      <c r="A221" s="135" t="s">
        <v>1074</v>
      </c>
      <c r="B221" s="135" t="s">
        <v>978</v>
      </c>
      <c r="C221" s="136" t="s">
        <v>979</v>
      </c>
      <c r="D221" s="137" t="s">
        <v>927</v>
      </c>
      <c r="E221" s="137">
        <v>2221.8000000000002</v>
      </c>
      <c r="F221" s="137">
        <f>ROUND(FATOR*H221,2)</f>
        <v>5.76</v>
      </c>
      <c r="G221" s="137">
        <f>ROUND(E221*F221,2)</f>
        <v>12797.57</v>
      </c>
      <c r="H221" s="141">
        <v>5.76</v>
      </c>
    </row>
    <row r="222" spans="1:8" s="139" customFormat="1" ht="24.95" customHeight="1">
      <c r="A222" s="135" t="s">
        <v>1075</v>
      </c>
      <c r="B222" s="135" t="s">
        <v>1076</v>
      </c>
      <c r="C222" s="136" t="s">
        <v>1077</v>
      </c>
      <c r="D222" s="137" t="s">
        <v>927</v>
      </c>
      <c r="E222" s="137">
        <v>2221.8000000000002</v>
      </c>
      <c r="F222" s="137">
        <f>ROUND(FATOR*H222,2)</f>
        <v>2.09</v>
      </c>
      <c r="G222" s="137">
        <f>ROUND(E222*F222,2)</f>
        <v>4643.5600000000004</v>
      </c>
      <c r="H222" s="141">
        <v>2.09</v>
      </c>
    </row>
    <row r="223" spans="1:8" s="69" customFormat="1" ht="15.95" hidden="1" customHeight="1">
      <c r="A223" s="93"/>
      <c r="B223" s="93"/>
      <c r="C223" s="94"/>
      <c r="D223" s="95"/>
      <c r="E223" s="95"/>
      <c r="F223" s="95"/>
      <c r="G223" s="95">
        <f>ROUND(E223*F223,2)</f>
        <v>0</v>
      </c>
      <c r="H223" s="97">
        <v>0</v>
      </c>
    </row>
    <row r="224" spans="1:8" s="69" customFormat="1" ht="15.95" customHeight="1">
      <c r="A224" s="90" t="s">
        <v>87</v>
      </c>
      <c r="B224" s="90" t="s">
        <v>87</v>
      </c>
      <c r="C224" s="91" t="s">
        <v>1078</v>
      </c>
      <c r="D224" s="82"/>
      <c r="E224" s="82"/>
      <c r="F224" s="82"/>
      <c r="G224" s="82">
        <f>SUM(G225:G231)</f>
        <v>45164.849999999991</v>
      </c>
      <c r="H224" s="97"/>
    </row>
    <row r="225" spans="1:8" s="139" customFormat="1" ht="24.95" customHeight="1">
      <c r="A225" s="135" t="s">
        <v>1079</v>
      </c>
      <c r="B225" s="135" t="s">
        <v>1080</v>
      </c>
      <c r="C225" s="136" t="s">
        <v>1081</v>
      </c>
      <c r="D225" s="137" t="s">
        <v>874</v>
      </c>
      <c r="E225" s="137">
        <v>11.27</v>
      </c>
      <c r="F225" s="137">
        <f>ROUND(FATOR*H225,2)</f>
        <v>625.91</v>
      </c>
      <c r="G225" s="137">
        <f>ROUND(E225*F225,2)</f>
        <v>7054.01</v>
      </c>
      <c r="H225" s="141">
        <v>625.91</v>
      </c>
    </row>
    <row r="226" spans="1:8" s="139" customFormat="1" ht="24.95" customHeight="1">
      <c r="A226" s="135" t="s">
        <v>1082</v>
      </c>
      <c r="B226" s="135" t="s">
        <v>1083</v>
      </c>
      <c r="C226" s="136" t="s">
        <v>1084</v>
      </c>
      <c r="D226" s="137" t="s">
        <v>874</v>
      </c>
      <c r="E226" s="137">
        <v>11.27</v>
      </c>
      <c r="F226" s="137">
        <f>ROUND(FATOR*H226,2)</f>
        <v>1511.33</v>
      </c>
      <c r="G226" s="137">
        <f>ROUND(E226*F226,2)</f>
        <v>17032.689999999999</v>
      </c>
      <c r="H226" s="141">
        <v>1511.33</v>
      </c>
    </row>
    <row r="227" spans="1:8" s="139" customFormat="1" ht="15.95" customHeight="1">
      <c r="A227" s="135" t="s">
        <v>1085</v>
      </c>
      <c r="B227" s="135" t="s">
        <v>1086</v>
      </c>
      <c r="C227" s="136" t="s">
        <v>1087</v>
      </c>
      <c r="D227" s="137" t="s">
        <v>927</v>
      </c>
      <c r="E227" s="137">
        <v>11.59</v>
      </c>
      <c r="F227" s="137">
        <f>ROUND(FATOR*H227,2)</f>
        <v>252.42</v>
      </c>
      <c r="G227" s="137">
        <f>ROUND(E227*F227,2)</f>
        <v>2925.55</v>
      </c>
      <c r="H227" s="141">
        <v>252.42</v>
      </c>
    </row>
    <row r="228" spans="1:8" s="139" customFormat="1" ht="15.95" customHeight="1">
      <c r="A228" s="135" t="s">
        <v>1088</v>
      </c>
      <c r="B228" s="135" t="s">
        <v>1089</v>
      </c>
      <c r="C228" s="136" t="s">
        <v>1090</v>
      </c>
      <c r="D228" s="137" t="s">
        <v>927</v>
      </c>
      <c r="E228" s="137">
        <v>11.59</v>
      </c>
      <c r="F228" s="137">
        <f>ROUND(FATOR*H228,2)</f>
        <v>391.33</v>
      </c>
      <c r="G228" s="137">
        <f>ROUND(E228*F228,2)</f>
        <v>4535.51</v>
      </c>
      <c r="H228" s="141">
        <v>391.33</v>
      </c>
    </row>
    <row r="229" spans="1:8" s="139" customFormat="1" ht="15.95" customHeight="1">
      <c r="A229" s="135" t="s">
        <v>1091</v>
      </c>
      <c r="B229" s="135" t="s">
        <v>1092</v>
      </c>
      <c r="C229" s="136" t="s">
        <v>1093</v>
      </c>
      <c r="D229" s="137" t="s">
        <v>874</v>
      </c>
      <c r="E229" s="137">
        <v>11.27</v>
      </c>
      <c r="F229" s="137">
        <f>ROUND(FATOR*H229,2)</f>
        <v>1208.26</v>
      </c>
      <c r="G229" s="137">
        <f>ROUND(E229*F229,2)</f>
        <v>13617.09</v>
      </c>
      <c r="H229" s="141">
        <v>1208.26</v>
      </c>
    </row>
    <row r="230" spans="1:8" s="69" customFormat="1" ht="15.95" hidden="1" customHeight="1">
      <c r="A230" s="93"/>
      <c r="B230" s="93"/>
      <c r="C230" s="94"/>
      <c r="D230" s="95"/>
      <c r="E230" s="95"/>
      <c r="F230" s="95"/>
      <c r="G230" s="95">
        <f t="shared" ref="G230:G231" si="13">ROUND(E230*F230,2)</f>
        <v>0</v>
      </c>
      <c r="H230" s="97">
        <v>0</v>
      </c>
    </row>
    <row r="231" spans="1:8" s="69" customFormat="1" ht="15.95" hidden="1" customHeight="1">
      <c r="A231" s="93"/>
      <c r="B231" s="93"/>
      <c r="C231" s="94"/>
      <c r="D231" s="95"/>
      <c r="E231" s="95"/>
      <c r="F231" s="95"/>
      <c r="G231" s="95">
        <f t="shared" si="13"/>
        <v>0</v>
      </c>
      <c r="H231" s="97">
        <v>0</v>
      </c>
    </row>
    <row r="232" spans="1:8" s="69" customFormat="1" ht="15.95" customHeight="1">
      <c r="A232" s="90" t="s">
        <v>88</v>
      </c>
      <c r="B232" s="90" t="s">
        <v>88</v>
      </c>
      <c r="C232" s="91" t="s">
        <v>1094</v>
      </c>
      <c r="D232" s="82"/>
      <c r="E232" s="82"/>
      <c r="F232" s="82"/>
      <c r="G232" s="82">
        <f>SUM(G233:G238)</f>
        <v>20332.73</v>
      </c>
      <c r="H232" s="97"/>
    </row>
    <row r="233" spans="1:8" s="139" customFormat="1" ht="24.95" customHeight="1">
      <c r="A233" s="135" t="s">
        <v>1095</v>
      </c>
      <c r="B233" s="135" t="s">
        <v>1096</v>
      </c>
      <c r="C233" s="136" t="s">
        <v>1097</v>
      </c>
      <c r="D233" s="137" t="s">
        <v>874</v>
      </c>
      <c r="E233" s="137">
        <v>23.35</v>
      </c>
      <c r="F233" s="137">
        <f t="shared" ref="F233:F238" si="14">ROUND(FATOR*H233,2)</f>
        <v>82.78</v>
      </c>
      <c r="G233" s="137">
        <f t="shared" ref="G233:G238" si="15">ROUND(E233*F233,2)</f>
        <v>1932.91</v>
      </c>
      <c r="H233" s="141">
        <v>82.78</v>
      </c>
    </row>
    <row r="234" spans="1:8" s="139" customFormat="1" ht="15.95" customHeight="1">
      <c r="A234" s="135" t="s">
        <v>1098</v>
      </c>
      <c r="B234" s="135" t="s">
        <v>1099</v>
      </c>
      <c r="C234" s="136" t="s">
        <v>1100</v>
      </c>
      <c r="D234" s="137" t="s">
        <v>874</v>
      </c>
      <c r="E234" s="137">
        <v>23.35</v>
      </c>
      <c r="F234" s="137">
        <f t="shared" si="14"/>
        <v>108.38</v>
      </c>
      <c r="G234" s="137">
        <f t="shared" si="15"/>
        <v>2530.67</v>
      </c>
      <c r="H234" s="141">
        <v>108.38</v>
      </c>
    </row>
    <row r="235" spans="1:8" s="139" customFormat="1" ht="24.95" customHeight="1">
      <c r="A235" s="135" t="s">
        <v>1101</v>
      </c>
      <c r="B235" s="135" t="s">
        <v>1102</v>
      </c>
      <c r="C235" s="136" t="s">
        <v>1103</v>
      </c>
      <c r="D235" s="137" t="s">
        <v>874</v>
      </c>
      <c r="E235" s="137">
        <v>23.35</v>
      </c>
      <c r="F235" s="137">
        <f t="shared" si="14"/>
        <v>179.41</v>
      </c>
      <c r="G235" s="137">
        <f t="shared" si="15"/>
        <v>4189.22</v>
      </c>
      <c r="H235" s="141">
        <v>179.41</v>
      </c>
    </row>
    <row r="236" spans="1:8" s="139" customFormat="1" ht="15.95" customHeight="1">
      <c r="A236" s="135" t="s">
        <v>1104</v>
      </c>
      <c r="B236" s="135" t="s">
        <v>1105</v>
      </c>
      <c r="C236" s="136" t="s">
        <v>1106</v>
      </c>
      <c r="D236" s="137" t="s">
        <v>874</v>
      </c>
      <c r="E236" s="137">
        <v>23.35</v>
      </c>
      <c r="F236" s="137">
        <f t="shared" si="14"/>
        <v>152</v>
      </c>
      <c r="G236" s="137">
        <f t="shared" si="15"/>
        <v>3549.2</v>
      </c>
      <c r="H236" s="141">
        <v>152</v>
      </c>
    </row>
    <row r="237" spans="1:8" s="139" customFormat="1" ht="15.95" customHeight="1">
      <c r="A237" s="135" t="s">
        <v>1107</v>
      </c>
      <c r="B237" s="135" t="s">
        <v>1108</v>
      </c>
      <c r="C237" s="136" t="s">
        <v>1109</v>
      </c>
      <c r="D237" s="137" t="s">
        <v>879</v>
      </c>
      <c r="E237" s="137">
        <v>11.59</v>
      </c>
      <c r="F237" s="137">
        <f t="shared" si="14"/>
        <v>175.29</v>
      </c>
      <c r="G237" s="137">
        <f t="shared" si="15"/>
        <v>2031.61</v>
      </c>
      <c r="H237" s="141">
        <v>175.29</v>
      </c>
    </row>
    <row r="238" spans="1:8" s="139" customFormat="1" ht="15.95" customHeight="1">
      <c r="A238" s="135" t="s">
        <v>1110</v>
      </c>
      <c r="B238" s="135" t="s">
        <v>1111</v>
      </c>
      <c r="C238" s="136" t="s">
        <v>1112</v>
      </c>
      <c r="D238" s="137" t="s">
        <v>879</v>
      </c>
      <c r="E238" s="137">
        <v>11.59</v>
      </c>
      <c r="F238" s="137">
        <f t="shared" si="14"/>
        <v>526.24</v>
      </c>
      <c r="G238" s="137">
        <f t="shared" si="15"/>
        <v>6099.12</v>
      </c>
      <c r="H238" s="141">
        <v>526.24</v>
      </c>
    </row>
    <row r="239" spans="1:8" s="69" customFormat="1" ht="15.95" customHeight="1">
      <c r="A239" s="90" t="s">
        <v>89</v>
      </c>
      <c r="B239" s="90" t="s">
        <v>89</v>
      </c>
      <c r="C239" s="91" t="s">
        <v>1113</v>
      </c>
      <c r="D239" s="82"/>
      <c r="E239" s="82"/>
      <c r="F239" s="82"/>
      <c r="G239" s="82">
        <f>SUM(G240:G256)</f>
        <v>29768.379999999997</v>
      </c>
      <c r="H239" s="97"/>
    </row>
    <row r="240" spans="1:8" s="139" customFormat="1" ht="15.95" customHeight="1">
      <c r="A240" s="135" t="s">
        <v>1114</v>
      </c>
      <c r="B240" s="135" t="s">
        <v>1115</v>
      </c>
      <c r="C240" s="136" t="s">
        <v>1116</v>
      </c>
      <c r="D240" s="137" t="s">
        <v>927</v>
      </c>
      <c r="E240" s="137">
        <v>1449</v>
      </c>
      <c r="F240" s="137">
        <f t="shared" ref="F240:F251" si="16">ROUND(FATOR*H240,2)</f>
        <v>12.74</v>
      </c>
      <c r="G240" s="137">
        <f t="shared" ref="G240:G251" si="17">ROUND(E240*F240,2)</f>
        <v>18460.259999999998</v>
      </c>
      <c r="H240" s="141">
        <v>12.74</v>
      </c>
    </row>
    <row r="241" spans="1:8" s="139" customFormat="1" ht="15.95" customHeight="1">
      <c r="A241" s="135" t="s">
        <v>1117</v>
      </c>
      <c r="B241" s="135" t="s">
        <v>1118</v>
      </c>
      <c r="C241" s="136" t="s">
        <v>1119</v>
      </c>
      <c r="D241" s="137" t="s">
        <v>874</v>
      </c>
      <c r="E241" s="137">
        <v>70.040000000000006</v>
      </c>
      <c r="F241" s="137">
        <f t="shared" si="16"/>
        <v>34.32</v>
      </c>
      <c r="G241" s="137">
        <f t="shared" si="17"/>
        <v>2403.77</v>
      </c>
      <c r="H241" s="141">
        <v>34.32</v>
      </c>
    </row>
    <row r="242" spans="1:8" s="139" customFormat="1" ht="15.95" customHeight="1">
      <c r="A242" s="135" t="s">
        <v>1120</v>
      </c>
      <c r="B242" s="135" t="s">
        <v>1121</v>
      </c>
      <c r="C242" s="136" t="s">
        <v>1122</v>
      </c>
      <c r="D242" s="137" t="s">
        <v>874</v>
      </c>
      <c r="E242" s="137">
        <v>133.63</v>
      </c>
      <c r="F242" s="137">
        <f t="shared" si="16"/>
        <v>7.24</v>
      </c>
      <c r="G242" s="137">
        <f t="shared" si="17"/>
        <v>967.48</v>
      </c>
      <c r="H242" s="141">
        <v>7.24</v>
      </c>
    </row>
    <row r="243" spans="1:8" s="139" customFormat="1" ht="15.95" customHeight="1">
      <c r="A243" s="135" t="s">
        <v>1123</v>
      </c>
      <c r="B243" s="135" t="s">
        <v>1124</v>
      </c>
      <c r="C243" s="136" t="s">
        <v>1125</v>
      </c>
      <c r="D243" s="137" t="s">
        <v>874</v>
      </c>
      <c r="E243" s="137">
        <v>133.63</v>
      </c>
      <c r="F243" s="137">
        <f t="shared" si="16"/>
        <v>2.19</v>
      </c>
      <c r="G243" s="137">
        <f t="shared" si="17"/>
        <v>292.64999999999998</v>
      </c>
      <c r="H243" s="141">
        <v>2.19</v>
      </c>
    </row>
    <row r="244" spans="1:8" s="139" customFormat="1" ht="15.95" customHeight="1">
      <c r="A244" s="135" t="s">
        <v>1126</v>
      </c>
      <c r="B244" s="135" t="s">
        <v>1127</v>
      </c>
      <c r="C244" s="136" t="s">
        <v>1128</v>
      </c>
      <c r="D244" s="137" t="s">
        <v>874</v>
      </c>
      <c r="E244" s="137">
        <v>144.9</v>
      </c>
      <c r="F244" s="137">
        <f t="shared" si="16"/>
        <v>1.63</v>
      </c>
      <c r="G244" s="137">
        <f t="shared" si="17"/>
        <v>236.19</v>
      </c>
      <c r="H244" s="141">
        <v>1.63</v>
      </c>
    </row>
    <row r="245" spans="1:8" s="139" customFormat="1" ht="15.95" customHeight="1">
      <c r="A245" s="135" t="s">
        <v>1129</v>
      </c>
      <c r="B245" s="135" t="s">
        <v>1130</v>
      </c>
      <c r="C245" s="136" t="s">
        <v>1131</v>
      </c>
      <c r="D245" s="137" t="s">
        <v>874</v>
      </c>
      <c r="E245" s="137">
        <v>70.040000000000006</v>
      </c>
      <c r="F245" s="137">
        <f t="shared" si="16"/>
        <v>13.9</v>
      </c>
      <c r="G245" s="137">
        <f t="shared" si="17"/>
        <v>973.56</v>
      </c>
      <c r="H245" s="141">
        <v>13.9</v>
      </c>
    </row>
    <row r="246" spans="1:8" s="139" customFormat="1" ht="15.95" customHeight="1">
      <c r="A246" s="135" t="s">
        <v>1132</v>
      </c>
      <c r="B246" s="135" t="s">
        <v>1133</v>
      </c>
      <c r="C246" s="136" t="s">
        <v>1134</v>
      </c>
      <c r="D246" s="137" t="s">
        <v>874</v>
      </c>
      <c r="E246" s="137">
        <v>99.02</v>
      </c>
      <c r="F246" s="137">
        <f t="shared" si="16"/>
        <v>6.18</v>
      </c>
      <c r="G246" s="137">
        <f t="shared" si="17"/>
        <v>611.94000000000005</v>
      </c>
      <c r="H246" s="141">
        <v>6.18</v>
      </c>
    </row>
    <row r="247" spans="1:8" s="139" customFormat="1" ht="15.95" customHeight="1">
      <c r="A247" s="135" t="s">
        <v>1135</v>
      </c>
      <c r="B247" s="135" t="s">
        <v>1136</v>
      </c>
      <c r="C247" s="136" t="s">
        <v>1137</v>
      </c>
      <c r="D247" s="137" t="s">
        <v>874</v>
      </c>
      <c r="E247" s="137">
        <v>99.02</v>
      </c>
      <c r="F247" s="137">
        <f t="shared" si="16"/>
        <v>7.54</v>
      </c>
      <c r="G247" s="137">
        <f t="shared" si="17"/>
        <v>746.61</v>
      </c>
      <c r="H247" s="141">
        <v>7.54</v>
      </c>
    </row>
    <row r="248" spans="1:8" s="139" customFormat="1" ht="15.95" customHeight="1">
      <c r="A248" s="135" t="s">
        <v>1138</v>
      </c>
      <c r="B248" s="135" t="s">
        <v>1139</v>
      </c>
      <c r="C248" s="136" t="s">
        <v>1140</v>
      </c>
      <c r="D248" s="137" t="s">
        <v>874</v>
      </c>
      <c r="E248" s="137">
        <v>99.02</v>
      </c>
      <c r="F248" s="137">
        <f t="shared" si="16"/>
        <v>5.01</v>
      </c>
      <c r="G248" s="137">
        <f t="shared" si="17"/>
        <v>496.09</v>
      </c>
      <c r="H248" s="141">
        <v>5.01</v>
      </c>
    </row>
    <row r="249" spans="1:8" s="139" customFormat="1" ht="15.95" customHeight="1">
      <c r="A249" s="135" t="s">
        <v>1141</v>
      </c>
      <c r="B249" s="135" t="s">
        <v>1142</v>
      </c>
      <c r="C249" s="136" t="s">
        <v>1143</v>
      </c>
      <c r="D249" s="137" t="s">
        <v>874</v>
      </c>
      <c r="E249" s="137">
        <v>99.02</v>
      </c>
      <c r="F249" s="137">
        <f t="shared" si="16"/>
        <v>35.25</v>
      </c>
      <c r="G249" s="137">
        <f t="shared" si="17"/>
        <v>3490.46</v>
      </c>
      <c r="H249" s="141">
        <v>35.25</v>
      </c>
    </row>
    <row r="250" spans="1:8" s="139" customFormat="1" ht="15.95" customHeight="1">
      <c r="A250" s="135" t="s">
        <v>1144</v>
      </c>
      <c r="B250" s="135" t="s">
        <v>1145</v>
      </c>
      <c r="C250" s="136" t="s">
        <v>1146</v>
      </c>
      <c r="D250" s="137" t="s">
        <v>874</v>
      </c>
      <c r="E250" s="137">
        <v>12.08</v>
      </c>
      <c r="F250" s="137">
        <f t="shared" si="16"/>
        <v>17</v>
      </c>
      <c r="G250" s="137">
        <f t="shared" si="17"/>
        <v>205.36</v>
      </c>
      <c r="H250" s="141">
        <v>17</v>
      </c>
    </row>
    <row r="251" spans="1:8" s="139" customFormat="1" ht="15.95" customHeight="1">
      <c r="A251" s="135" t="s">
        <v>1147</v>
      </c>
      <c r="B251" s="135" t="s">
        <v>1148</v>
      </c>
      <c r="C251" s="136" t="s">
        <v>1149</v>
      </c>
      <c r="D251" s="137" t="s">
        <v>874</v>
      </c>
      <c r="E251" s="137">
        <v>12.08</v>
      </c>
      <c r="F251" s="137">
        <f t="shared" si="16"/>
        <v>73.180000000000007</v>
      </c>
      <c r="G251" s="137">
        <f t="shared" si="17"/>
        <v>884.01</v>
      </c>
      <c r="H251" s="141">
        <v>73.180000000000007</v>
      </c>
    </row>
    <row r="252" spans="1:8" s="69" customFormat="1" ht="15.95" hidden="1" customHeight="1">
      <c r="A252" s="93"/>
      <c r="B252" s="93"/>
      <c r="C252" s="94"/>
      <c r="D252" s="95"/>
      <c r="E252" s="95"/>
      <c r="F252" s="95"/>
      <c r="G252" s="95"/>
      <c r="H252" s="97"/>
    </row>
    <row r="253" spans="1:8" s="69" customFormat="1" ht="15.95" hidden="1" customHeight="1">
      <c r="A253" s="93"/>
      <c r="B253" s="93"/>
      <c r="C253" s="94"/>
      <c r="D253" s="95"/>
      <c r="E253" s="95"/>
      <c r="F253" s="95"/>
      <c r="G253" s="95"/>
      <c r="H253" s="97"/>
    </row>
    <row r="254" spans="1:8" s="69" customFormat="1" ht="15.95" hidden="1" customHeight="1">
      <c r="A254" s="93"/>
      <c r="B254" s="93"/>
      <c r="C254" s="94"/>
      <c r="D254" s="95"/>
      <c r="E254" s="95"/>
      <c r="F254" s="95"/>
      <c r="G254" s="95"/>
      <c r="H254" s="97"/>
    </row>
    <row r="255" spans="1:8" s="69" customFormat="1" ht="15.95" hidden="1" customHeight="1">
      <c r="A255" s="93"/>
      <c r="B255" s="93"/>
      <c r="C255" s="94"/>
      <c r="D255" s="95"/>
      <c r="E255" s="95"/>
      <c r="F255" s="95"/>
      <c r="G255" s="95">
        <f>ROUND(E255*F255,2)</f>
        <v>0</v>
      </c>
      <c r="H255" s="97">
        <v>0</v>
      </c>
    </row>
    <row r="256" spans="1:8" s="69" customFormat="1" ht="15.95" hidden="1" customHeight="1">
      <c r="A256" s="93"/>
      <c r="B256" s="93"/>
      <c r="C256" s="94"/>
      <c r="D256" s="95"/>
      <c r="E256" s="95"/>
      <c r="F256" s="95"/>
      <c r="G256" s="95">
        <f>ROUND(E256*F256,2)</f>
        <v>0</v>
      </c>
      <c r="H256" s="97">
        <v>0</v>
      </c>
    </row>
    <row r="257" spans="1:8" s="69" customFormat="1" ht="15.95" hidden="1" customHeight="1">
      <c r="A257" s="90" t="s">
        <v>90</v>
      </c>
      <c r="B257" s="90" t="s">
        <v>90</v>
      </c>
      <c r="C257" s="91" t="s">
        <v>91</v>
      </c>
      <c r="D257" s="82"/>
      <c r="E257" s="82"/>
      <c r="F257" s="82"/>
      <c r="G257" s="82">
        <f>SUM(G258:G260)</f>
        <v>0</v>
      </c>
      <c r="H257" s="97"/>
    </row>
    <row r="258" spans="1:8" s="69" customFormat="1" ht="15.95" hidden="1" customHeight="1">
      <c r="A258" s="93"/>
      <c r="B258" s="93"/>
      <c r="C258" s="94"/>
      <c r="D258" s="95"/>
      <c r="E258" s="95"/>
      <c r="F258" s="95"/>
      <c r="G258" s="95">
        <f>ROUND(E258*F258,2)</f>
        <v>0</v>
      </c>
      <c r="H258" s="97">
        <v>0</v>
      </c>
    </row>
    <row r="259" spans="1:8" s="69" customFormat="1" ht="15.95" hidden="1" customHeight="1">
      <c r="A259" s="93"/>
      <c r="B259" s="93"/>
      <c r="C259" s="94"/>
      <c r="D259" s="95"/>
      <c r="E259" s="95"/>
      <c r="F259" s="95"/>
      <c r="G259" s="95">
        <f>ROUND(E259*F259,2)</f>
        <v>0</v>
      </c>
      <c r="H259" s="97">
        <v>0</v>
      </c>
    </row>
    <row r="260" spans="1:8" s="69" customFormat="1" ht="15.95" hidden="1" customHeight="1">
      <c r="A260" s="93"/>
      <c r="B260" s="93"/>
      <c r="C260" s="94"/>
      <c r="D260" s="95"/>
      <c r="E260" s="95"/>
      <c r="F260" s="95"/>
      <c r="G260" s="95">
        <f>ROUND(E260*F260,2)</f>
        <v>0</v>
      </c>
      <c r="H260" s="97">
        <v>0</v>
      </c>
    </row>
    <row r="261" spans="1:8" s="69" customFormat="1" ht="15.95" hidden="1" customHeight="1">
      <c r="A261" s="90" t="s">
        <v>92</v>
      </c>
      <c r="B261" s="90" t="s">
        <v>92</v>
      </c>
      <c r="C261" s="91" t="s">
        <v>93</v>
      </c>
      <c r="D261" s="82"/>
      <c r="E261" s="82"/>
      <c r="F261" s="82"/>
      <c r="G261" s="82">
        <f>SUM(G262:G264)</f>
        <v>0</v>
      </c>
      <c r="H261" s="97"/>
    </row>
    <row r="262" spans="1:8" s="69" customFormat="1" ht="15.95" hidden="1" customHeight="1">
      <c r="A262" s="93"/>
      <c r="B262" s="93"/>
      <c r="C262" s="94"/>
      <c r="D262" s="95"/>
      <c r="E262" s="95"/>
      <c r="F262" s="95"/>
      <c r="G262" s="95">
        <f>ROUND(E262*F262,2)</f>
        <v>0</v>
      </c>
      <c r="H262" s="97">
        <v>0</v>
      </c>
    </row>
    <row r="263" spans="1:8" s="69" customFormat="1" ht="15.95" hidden="1" customHeight="1">
      <c r="A263" s="93"/>
      <c r="B263" s="93"/>
      <c r="C263" s="94"/>
      <c r="D263" s="95"/>
      <c r="E263" s="95"/>
      <c r="F263" s="95"/>
      <c r="G263" s="95">
        <f>ROUND(E263*F263,2)</f>
        <v>0</v>
      </c>
      <c r="H263" s="97">
        <v>0</v>
      </c>
    </row>
    <row r="264" spans="1:8" s="69" customFormat="1" ht="15.95" hidden="1" customHeight="1">
      <c r="A264" s="93"/>
      <c r="B264" s="93"/>
      <c r="C264" s="94"/>
      <c r="D264" s="95"/>
      <c r="E264" s="95"/>
      <c r="F264" s="95"/>
      <c r="G264" s="95">
        <f>ROUND(E264*F264,2)</f>
        <v>0</v>
      </c>
      <c r="H264" s="97">
        <v>0</v>
      </c>
    </row>
    <row r="265" spans="1:8" s="69" customFormat="1" ht="15.95" hidden="1" customHeight="1">
      <c r="A265" s="90" t="s">
        <v>94</v>
      </c>
      <c r="B265" s="90" t="s">
        <v>94</v>
      </c>
      <c r="C265" s="91" t="s">
        <v>95</v>
      </c>
      <c r="D265" s="82"/>
      <c r="E265" s="82"/>
      <c r="F265" s="82"/>
      <c r="G265" s="82">
        <f>SUM(G266:G268)</f>
        <v>0</v>
      </c>
      <c r="H265" s="97"/>
    </row>
    <row r="266" spans="1:8" s="69" customFormat="1" ht="15.95" hidden="1" customHeight="1">
      <c r="A266" s="93"/>
      <c r="B266" s="93"/>
      <c r="C266" s="94"/>
      <c r="D266" s="95"/>
      <c r="E266" s="95"/>
      <c r="F266" s="95"/>
      <c r="G266" s="95">
        <f>ROUND(E266*F266,2)</f>
        <v>0</v>
      </c>
      <c r="H266" s="97">
        <v>0</v>
      </c>
    </row>
    <row r="267" spans="1:8" s="69" customFormat="1" ht="15.95" hidden="1" customHeight="1">
      <c r="A267" s="93"/>
      <c r="B267" s="93"/>
      <c r="C267" s="94"/>
      <c r="D267" s="95"/>
      <c r="E267" s="95"/>
      <c r="F267" s="95"/>
      <c r="G267" s="95">
        <f>ROUND(E267*F267,2)</f>
        <v>0</v>
      </c>
      <c r="H267" s="97">
        <v>0</v>
      </c>
    </row>
    <row r="268" spans="1:8" s="69" customFormat="1" ht="15.95" hidden="1" customHeight="1">
      <c r="A268" s="93"/>
      <c r="B268" s="93"/>
      <c r="C268" s="94"/>
      <c r="D268" s="95"/>
      <c r="E268" s="95"/>
      <c r="F268" s="95"/>
      <c r="G268" s="95">
        <f>ROUND(E268*F268,2)</f>
        <v>0</v>
      </c>
      <c r="H268" s="97">
        <v>0</v>
      </c>
    </row>
    <row r="269" spans="1:8" s="69" customFormat="1" ht="15.95" hidden="1" customHeight="1">
      <c r="A269" s="90" t="s">
        <v>96</v>
      </c>
      <c r="B269" s="90" t="s">
        <v>96</v>
      </c>
      <c r="C269" s="91" t="s">
        <v>97</v>
      </c>
      <c r="D269" s="82"/>
      <c r="E269" s="82"/>
      <c r="F269" s="82"/>
      <c r="G269" s="82">
        <f>SUM(G270:G272)</f>
        <v>0</v>
      </c>
      <c r="H269" s="97"/>
    </row>
    <row r="270" spans="1:8" s="69" customFormat="1" ht="15.95" hidden="1" customHeight="1">
      <c r="A270" s="93"/>
      <c r="B270" s="93"/>
      <c r="C270" s="94"/>
      <c r="D270" s="95"/>
      <c r="E270" s="95"/>
      <c r="F270" s="95"/>
      <c r="G270" s="95">
        <f>ROUND(E270*F270,2)</f>
        <v>0</v>
      </c>
      <c r="H270" s="97">
        <v>0</v>
      </c>
    </row>
    <row r="271" spans="1:8" s="69" customFormat="1" ht="15.95" hidden="1" customHeight="1">
      <c r="A271" s="93"/>
      <c r="B271" s="93"/>
      <c r="C271" s="94"/>
      <c r="D271" s="95"/>
      <c r="E271" s="95"/>
      <c r="F271" s="95"/>
      <c r="G271" s="95">
        <f>ROUND(E271*F271,2)</f>
        <v>0</v>
      </c>
      <c r="H271" s="97">
        <v>0</v>
      </c>
    </row>
    <row r="272" spans="1:8" s="69" customFormat="1" ht="15.95" hidden="1" customHeight="1">
      <c r="A272" s="93"/>
      <c r="B272" s="93"/>
      <c r="C272" s="94"/>
      <c r="D272" s="95"/>
      <c r="E272" s="95"/>
      <c r="F272" s="95"/>
      <c r="G272" s="95">
        <f>ROUND(E272*F272,2)</f>
        <v>0</v>
      </c>
      <c r="H272" s="97">
        <v>0</v>
      </c>
    </row>
    <row r="273" spans="1:8" s="69" customFormat="1" ht="15.95" hidden="1" customHeight="1">
      <c r="A273" s="90" t="s">
        <v>98</v>
      </c>
      <c r="B273" s="90" t="s">
        <v>98</v>
      </c>
      <c r="C273" s="91" t="s">
        <v>99</v>
      </c>
      <c r="D273" s="82"/>
      <c r="E273" s="82"/>
      <c r="F273" s="82"/>
      <c r="G273" s="82">
        <f>SUM(G274:G276)</f>
        <v>0</v>
      </c>
      <c r="H273" s="97"/>
    </row>
    <row r="274" spans="1:8" s="69" customFormat="1" ht="15.95" hidden="1" customHeight="1">
      <c r="A274" s="93"/>
      <c r="B274" s="93"/>
      <c r="C274" s="94"/>
      <c r="D274" s="95"/>
      <c r="E274" s="95"/>
      <c r="F274" s="95"/>
      <c r="G274" s="95">
        <f>ROUND(E274*F274,2)</f>
        <v>0</v>
      </c>
      <c r="H274" s="97">
        <v>0</v>
      </c>
    </row>
    <row r="275" spans="1:8" s="69" customFormat="1" ht="15.95" hidden="1" customHeight="1">
      <c r="A275" s="93"/>
      <c r="B275" s="93"/>
      <c r="C275" s="94"/>
      <c r="D275" s="95"/>
      <c r="E275" s="95"/>
      <c r="F275" s="95"/>
      <c r="G275" s="95">
        <f>ROUND(E275*F275,2)</f>
        <v>0</v>
      </c>
      <c r="H275" s="97">
        <v>0</v>
      </c>
    </row>
    <row r="276" spans="1:8" s="69" customFormat="1" ht="15.95" hidden="1" customHeight="1">
      <c r="A276" s="93"/>
      <c r="B276" s="93"/>
      <c r="C276" s="94"/>
      <c r="D276" s="95"/>
      <c r="E276" s="95"/>
      <c r="F276" s="95"/>
      <c r="G276" s="95">
        <f>ROUND(E276*F276,2)</f>
        <v>0</v>
      </c>
      <c r="H276" s="97">
        <v>0</v>
      </c>
    </row>
    <row r="277" spans="1:8" s="69" customFormat="1" ht="15.95" hidden="1" customHeight="1">
      <c r="A277" s="90" t="s">
        <v>100</v>
      </c>
      <c r="B277" s="90" t="s">
        <v>100</v>
      </c>
      <c r="C277" s="91" t="s">
        <v>101</v>
      </c>
      <c r="D277" s="82"/>
      <c r="E277" s="82"/>
      <c r="F277" s="82"/>
      <c r="G277" s="82">
        <f>SUM(G278:G280)</f>
        <v>0</v>
      </c>
      <c r="H277" s="97"/>
    </row>
    <row r="278" spans="1:8" s="69" customFormat="1" ht="15.95" hidden="1" customHeight="1">
      <c r="A278" s="93"/>
      <c r="B278" s="93"/>
      <c r="C278" s="94"/>
      <c r="D278" s="95"/>
      <c r="E278" s="95"/>
      <c r="F278" s="95"/>
      <c r="G278" s="95">
        <f>ROUND(E278*F278,2)</f>
        <v>0</v>
      </c>
      <c r="H278" s="97">
        <v>0</v>
      </c>
    </row>
    <row r="279" spans="1:8" s="69" customFormat="1" ht="15.95" hidden="1" customHeight="1">
      <c r="A279" s="93"/>
      <c r="B279" s="93"/>
      <c r="C279" s="94"/>
      <c r="D279" s="95"/>
      <c r="E279" s="95"/>
      <c r="F279" s="95"/>
      <c r="G279" s="95">
        <f>ROUND(E279*F279,2)</f>
        <v>0</v>
      </c>
      <c r="H279" s="97">
        <v>0</v>
      </c>
    </row>
    <row r="280" spans="1:8" s="69" customFormat="1" ht="15.95" hidden="1" customHeight="1">
      <c r="A280" s="93"/>
      <c r="B280" s="93"/>
      <c r="C280" s="94"/>
      <c r="D280" s="95"/>
      <c r="E280" s="95"/>
      <c r="F280" s="95"/>
      <c r="G280" s="95">
        <f>ROUND(E280*F280,2)</f>
        <v>0</v>
      </c>
      <c r="H280" s="97">
        <v>0</v>
      </c>
    </row>
    <row r="281" spans="1:8" s="69" customFormat="1" ht="15.95" hidden="1" customHeight="1">
      <c r="A281" s="90" t="s">
        <v>102</v>
      </c>
      <c r="B281" s="90" t="s">
        <v>102</v>
      </c>
      <c r="C281" s="91" t="s">
        <v>103</v>
      </c>
      <c r="D281" s="82"/>
      <c r="E281" s="82"/>
      <c r="F281" s="82"/>
      <c r="G281" s="82">
        <f>SUM(G282:G284)</f>
        <v>0</v>
      </c>
      <c r="H281" s="97"/>
    </row>
    <row r="282" spans="1:8" s="69" customFormat="1" ht="15.95" hidden="1" customHeight="1">
      <c r="A282" s="93"/>
      <c r="B282" s="93"/>
      <c r="C282" s="94"/>
      <c r="D282" s="95"/>
      <c r="E282" s="95"/>
      <c r="F282" s="95"/>
      <c r="G282" s="95">
        <f>ROUND(E282*F282,2)</f>
        <v>0</v>
      </c>
      <c r="H282" s="97">
        <v>0</v>
      </c>
    </row>
    <row r="283" spans="1:8" s="69" customFormat="1" ht="15.95" hidden="1" customHeight="1">
      <c r="A283" s="93"/>
      <c r="B283" s="93"/>
      <c r="C283" s="94"/>
      <c r="D283" s="95"/>
      <c r="E283" s="95"/>
      <c r="F283" s="95"/>
      <c r="G283" s="95">
        <f>ROUND(E283*F283,2)</f>
        <v>0</v>
      </c>
      <c r="H283" s="97">
        <v>0</v>
      </c>
    </row>
    <row r="284" spans="1:8" s="69" customFormat="1" ht="15.95" hidden="1" customHeight="1">
      <c r="A284" s="93"/>
      <c r="B284" s="93"/>
      <c r="C284" s="94"/>
      <c r="D284" s="95"/>
      <c r="E284" s="95"/>
      <c r="F284" s="95"/>
      <c r="G284" s="95">
        <f>ROUND(E284*F284,2)</f>
        <v>0</v>
      </c>
      <c r="H284" s="97">
        <v>0</v>
      </c>
    </row>
    <row r="285" spans="1:8" s="69" customFormat="1" ht="15.95" hidden="1" customHeight="1">
      <c r="A285" s="90" t="s">
        <v>104</v>
      </c>
      <c r="B285" s="90" t="s">
        <v>104</v>
      </c>
      <c r="C285" s="91" t="s">
        <v>105</v>
      </c>
      <c r="D285" s="82"/>
      <c r="E285" s="82"/>
      <c r="F285" s="82"/>
      <c r="G285" s="82">
        <f>SUM(G286:G288)</f>
        <v>0</v>
      </c>
      <c r="H285" s="97"/>
    </row>
    <row r="286" spans="1:8" s="69" customFormat="1" ht="15.95" hidden="1" customHeight="1">
      <c r="A286" s="93"/>
      <c r="B286" s="93"/>
      <c r="C286" s="94"/>
      <c r="D286" s="95"/>
      <c r="E286" s="95"/>
      <c r="F286" s="95"/>
      <c r="G286" s="95">
        <f>ROUND(E286*F286,2)</f>
        <v>0</v>
      </c>
      <c r="H286" s="97">
        <v>0</v>
      </c>
    </row>
    <row r="287" spans="1:8" s="69" customFormat="1" ht="15.95" hidden="1" customHeight="1">
      <c r="A287" s="93"/>
      <c r="B287" s="93"/>
      <c r="C287" s="94"/>
      <c r="D287" s="95"/>
      <c r="E287" s="95"/>
      <c r="F287" s="95"/>
      <c r="G287" s="95">
        <f>ROUND(E287*F287,2)</f>
        <v>0</v>
      </c>
      <c r="H287" s="97">
        <v>0</v>
      </c>
    </row>
    <row r="288" spans="1:8" s="69" customFormat="1" ht="15.95" hidden="1" customHeight="1">
      <c r="A288" s="93"/>
      <c r="B288" s="93"/>
      <c r="C288" s="94"/>
      <c r="D288" s="95"/>
      <c r="E288" s="95"/>
      <c r="F288" s="95"/>
      <c r="G288" s="95">
        <f>ROUND(E288*F288,2)</f>
        <v>0</v>
      </c>
      <c r="H288" s="97">
        <v>0</v>
      </c>
    </row>
    <row r="289" spans="1:8" s="69" customFormat="1" ht="15.95" hidden="1" customHeight="1">
      <c r="A289" s="90" t="s">
        <v>106</v>
      </c>
      <c r="B289" s="90" t="s">
        <v>106</v>
      </c>
      <c r="C289" s="91" t="s">
        <v>107</v>
      </c>
      <c r="D289" s="82"/>
      <c r="E289" s="82"/>
      <c r="F289" s="82"/>
      <c r="G289" s="82">
        <f>SUM(G290:G292)</f>
        <v>0</v>
      </c>
      <c r="H289" s="97"/>
    </row>
    <row r="290" spans="1:8" s="69" customFormat="1" ht="15.95" hidden="1" customHeight="1">
      <c r="A290" s="93"/>
      <c r="B290" s="93"/>
      <c r="C290" s="94"/>
      <c r="D290" s="95"/>
      <c r="E290" s="95"/>
      <c r="F290" s="95"/>
      <c r="G290" s="95">
        <f>ROUND(E290*F290,2)</f>
        <v>0</v>
      </c>
      <c r="H290" s="97">
        <v>0</v>
      </c>
    </row>
    <row r="291" spans="1:8" s="69" customFormat="1" ht="15.95" hidden="1" customHeight="1">
      <c r="A291" s="93"/>
      <c r="B291" s="93"/>
      <c r="C291" s="94"/>
      <c r="D291" s="95"/>
      <c r="E291" s="95"/>
      <c r="F291" s="95"/>
      <c r="G291" s="95">
        <f>ROUND(E291*F291,2)</f>
        <v>0</v>
      </c>
      <c r="H291" s="97">
        <v>0</v>
      </c>
    </row>
    <row r="292" spans="1:8" s="69" customFormat="1" ht="15.95" hidden="1" customHeight="1">
      <c r="A292" s="93"/>
      <c r="B292" s="93"/>
      <c r="C292" s="94"/>
      <c r="D292" s="95"/>
      <c r="E292" s="95"/>
      <c r="F292" s="95"/>
      <c r="G292" s="95">
        <f>ROUND(E292*F292,2)</f>
        <v>0</v>
      </c>
      <c r="H292" s="97">
        <v>0</v>
      </c>
    </row>
    <row r="293" spans="1:8" s="69" customFormat="1" ht="15.95" hidden="1" customHeight="1">
      <c r="A293" s="90" t="s">
        <v>108</v>
      </c>
      <c r="B293" s="90" t="s">
        <v>108</v>
      </c>
      <c r="C293" s="91" t="s">
        <v>109</v>
      </c>
      <c r="D293" s="82"/>
      <c r="E293" s="82"/>
      <c r="F293" s="82"/>
      <c r="G293" s="82">
        <f>SUM(G294:G296)</f>
        <v>0</v>
      </c>
      <c r="H293" s="97"/>
    </row>
    <row r="294" spans="1:8" s="69" customFormat="1" ht="15.95" hidden="1" customHeight="1">
      <c r="A294" s="93"/>
      <c r="B294" s="93"/>
      <c r="C294" s="94"/>
      <c r="D294" s="95"/>
      <c r="E294" s="95"/>
      <c r="F294" s="95"/>
      <c r="G294" s="95">
        <f>ROUND(E294*F294,2)</f>
        <v>0</v>
      </c>
      <c r="H294" s="96">
        <v>0</v>
      </c>
    </row>
    <row r="295" spans="1:8" s="69" customFormat="1" ht="15.95" hidden="1" customHeight="1">
      <c r="A295" s="93"/>
      <c r="B295" s="93"/>
      <c r="C295" s="94"/>
      <c r="D295" s="95"/>
      <c r="E295" s="95"/>
      <c r="F295" s="95"/>
      <c r="G295" s="95">
        <f>ROUND(E295*F295,2)</f>
        <v>0</v>
      </c>
      <c r="H295" s="96">
        <v>0</v>
      </c>
    </row>
    <row r="296" spans="1:8" s="69" customFormat="1" ht="15.95" hidden="1" customHeight="1">
      <c r="A296" s="93"/>
      <c r="B296" s="93"/>
      <c r="C296" s="94"/>
      <c r="D296" s="95"/>
      <c r="E296" s="95"/>
      <c r="F296" s="95"/>
      <c r="G296" s="95">
        <f>ROUND(E296*F296,2)</f>
        <v>0</v>
      </c>
      <c r="H296" s="96">
        <v>0</v>
      </c>
    </row>
    <row r="297" spans="1:8" s="69" customFormat="1" ht="15.95" hidden="1" customHeight="1">
      <c r="A297" s="90" t="s">
        <v>110</v>
      </c>
      <c r="B297" s="90" t="s">
        <v>110</v>
      </c>
      <c r="C297" s="91" t="s">
        <v>111</v>
      </c>
      <c r="D297" s="82"/>
      <c r="E297" s="82"/>
      <c r="F297" s="82"/>
      <c r="G297" s="82">
        <f>SUM(G298:G300)</f>
        <v>0</v>
      </c>
      <c r="H297" s="97"/>
    </row>
    <row r="298" spans="1:8" s="69" customFormat="1" ht="15.95" hidden="1" customHeight="1">
      <c r="A298" s="93"/>
      <c r="B298" s="93"/>
      <c r="C298" s="94"/>
      <c r="D298" s="95"/>
      <c r="E298" s="95"/>
      <c r="F298" s="95"/>
      <c r="G298" s="95">
        <f>ROUND(E298*F298,2)</f>
        <v>0</v>
      </c>
      <c r="H298" s="96">
        <v>0</v>
      </c>
    </row>
    <row r="299" spans="1:8" s="69" customFormat="1" ht="15.95" hidden="1" customHeight="1">
      <c r="A299" s="93"/>
      <c r="B299" s="93"/>
      <c r="C299" s="94"/>
      <c r="D299" s="95"/>
      <c r="E299" s="95"/>
      <c r="F299" s="95"/>
      <c r="G299" s="95">
        <f>ROUND(E299*F299,2)</f>
        <v>0</v>
      </c>
      <c r="H299" s="96">
        <v>0</v>
      </c>
    </row>
    <row r="300" spans="1:8" s="69" customFormat="1" ht="15.95" hidden="1" customHeight="1">
      <c r="A300" s="93"/>
      <c r="B300" s="93"/>
      <c r="C300" s="94"/>
      <c r="D300" s="95"/>
      <c r="E300" s="95"/>
      <c r="F300" s="95"/>
      <c r="G300" s="95">
        <f>ROUND(E300*F300,2)</f>
        <v>0</v>
      </c>
      <c r="H300" s="96">
        <v>0</v>
      </c>
    </row>
    <row r="301" spans="1:8" s="69" customFormat="1" ht="15.95" hidden="1" customHeight="1">
      <c r="A301" s="90" t="s">
        <v>112</v>
      </c>
      <c r="B301" s="90" t="s">
        <v>112</v>
      </c>
      <c r="C301" s="91" t="s">
        <v>113</v>
      </c>
      <c r="D301" s="82"/>
      <c r="E301" s="82"/>
      <c r="F301" s="82"/>
      <c r="G301" s="82">
        <f>SUM(G302:G304)</f>
        <v>0</v>
      </c>
      <c r="H301" s="97"/>
    </row>
    <row r="302" spans="1:8" s="69" customFormat="1" ht="15.95" hidden="1" customHeight="1">
      <c r="A302" s="93"/>
      <c r="B302" s="93"/>
      <c r="C302" s="94"/>
      <c r="D302" s="95"/>
      <c r="E302" s="95"/>
      <c r="F302" s="95"/>
      <c r="G302" s="95">
        <f>ROUND(E302*F302,2)</f>
        <v>0</v>
      </c>
      <c r="H302" s="96">
        <v>0</v>
      </c>
    </row>
    <row r="303" spans="1:8" s="69" customFormat="1" ht="15.95" hidden="1" customHeight="1">
      <c r="A303" s="93"/>
      <c r="B303" s="93"/>
      <c r="C303" s="94"/>
      <c r="D303" s="95"/>
      <c r="E303" s="95"/>
      <c r="F303" s="95"/>
      <c r="G303" s="95">
        <f>ROUND(E303*F303,2)</f>
        <v>0</v>
      </c>
      <c r="H303" s="96">
        <v>0</v>
      </c>
    </row>
    <row r="304" spans="1:8" s="69" customFormat="1" ht="15.95" hidden="1" customHeight="1">
      <c r="A304" s="93"/>
      <c r="B304" s="93"/>
      <c r="C304" s="94"/>
      <c r="D304" s="95"/>
      <c r="E304" s="95"/>
      <c r="F304" s="95"/>
      <c r="G304" s="95">
        <f>ROUND(E304*F304,2)</f>
        <v>0</v>
      </c>
      <c r="H304" s="96">
        <v>0</v>
      </c>
    </row>
    <row r="305" spans="1:8" s="69" customFormat="1" ht="15.95" hidden="1" customHeight="1">
      <c r="A305" s="90" t="s">
        <v>114</v>
      </c>
      <c r="B305" s="90" t="s">
        <v>114</v>
      </c>
      <c r="C305" s="91" t="s">
        <v>115</v>
      </c>
      <c r="D305" s="82"/>
      <c r="E305" s="82"/>
      <c r="F305" s="82"/>
      <c r="G305" s="82">
        <f>SUM(G306:G308)</f>
        <v>0</v>
      </c>
      <c r="H305" s="97"/>
    </row>
    <row r="306" spans="1:8" s="69" customFormat="1" ht="15.95" hidden="1" customHeight="1">
      <c r="A306" s="93"/>
      <c r="B306" s="93"/>
      <c r="C306" s="94"/>
      <c r="D306" s="95"/>
      <c r="E306" s="95"/>
      <c r="F306" s="95"/>
      <c r="G306" s="95">
        <f>ROUND(E306*F306,2)</f>
        <v>0</v>
      </c>
      <c r="H306" s="96">
        <v>0</v>
      </c>
    </row>
    <row r="307" spans="1:8" s="69" customFormat="1" ht="15.95" hidden="1" customHeight="1">
      <c r="A307" s="93"/>
      <c r="B307" s="93"/>
      <c r="C307" s="94"/>
      <c r="D307" s="95"/>
      <c r="E307" s="95"/>
      <c r="F307" s="95"/>
      <c r="G307" s="95">
        <f>ROUND(E307*F307,2)</f>
        <v>0</v>
      </c>
      <c r="H307" s="96">
        <v>0</v>
      </c>
    </row>
    <row r="308" spans="1:8" s="69" customFormat="1" ht="15.95" hidden="1" customHeight="1">
      <c r="A308" s="93"/>
      <c r="B308" s="93"/>
      <c r="C308" s="94"/>
      <c r="D308" s="95"/>
      <c r="E308" s="95"/>
      <c r="F308" s="95"/>
      <c r="G308" s="95">
        <f>ROUND(E308*F308,2)</f>
        <v>0</v>
      </c>
      <c r="H308" s="96">
        <v>0</v>
      </c>
    </row>
    <row r="309" spans="1:8" s="69" customFormat="1" ht="15.95" hidden="1" customHeight="1">
      <c r="A309" s="90" t="s">
        <v>116</v>
      </c>
      <c r="B309" s="90" t="s">
        <v>116</v>
      </c>
      <c r="C309" s="91" t="s">
        <v>117</v>
      </c>
      <c r="D309" s="82"/>
      <c r="E309" s="82"/>
      <c r="F309" s="82"/>
      <c r="G309" s="82">
        <f>SUM(G310:G312)</f>
        <v>0</v>
      </c>
      <c r="H309" s="97"/>
    </row>
    <row r="310" spans="1:8" s="69" customFormat="1" ht="15.95" hidden="1" customHeight="1">
      <c r="A310" s="93"/>
      <c r="B310" s="93"/>
      <c r="C310" s="94"/>
      <c r="D310" s="95"/>
      <c r="E310" s="95"/>
      <c r="F310" s="95"/>
      <c r="G310" s="95">
        <f>ROUND(E310*F310,2)</f>
        <v>0</v>
      </c>
      <c r="H310" s="96">
        <v>0</v>
      </c>
    </row>
    <row r="311" spans="1:8" s="69" customFormat="1" ht="15.95" hidden="1" customHeight="1">
      <c r="A311" s="93"/>
      <c r="B311" s="93"/>
      <c r="C311" s="94"/>
      <c r="D311" s="95"/>
      <c r="E311" s="95"/>
      <c r="F311" s="95"/>
      <c r="G311" s="95">
        <f>ROUND(E311*F311,2)</f>
        <v>0</v>
      </c>
      <c r="H311" s="96">
        <v>0</v>
      </c>
    </row>
    <row r="312" spans="1:8" s="69" customFormat="1" ht="15.95" hidden="1" customHeight="1">
      <c r="A312" s="93"/>
      <c r="B312" s="93"/>
      <c r="C312" s="94"/>
      <c r="D312" s="95"/>
      <c r="E312" s="95"/>
      <c r="F312" s="95"/>
      <c r="G312" s="95">
        <f>ROUND(E312*F312,2)</f>
        <v>0</v>
      </c>
      <c r="H312" s="96">
        <v>0</v>
      </c>
    </row>
    <row r="313" spans="1:8" s="69" customFormat="1" ht="15.95" hidden="1" customHeight="1">
      <c r="A313" s="83"/>
      <c r="B313" s="83"/>
      <c r="C313" s="84" t="s">
        <v>118</v>
      </c>
      <c r="D313" s="85"/>
      <c r="E313" s="85"/>
      <c r="F313" s="85"/>
      <c r="G313" s="85"/>
      <c r="H313" s="97"/>
    </row>
    <row r="314" spans="1:8" s="69" customFormat="1" ht="15.95" customHeight="1">
      <c r="A314" s="87" t="s">
        <v>119</v>
      </c>
      <c r="B314" s="87" t="s">
        <v>119</v>
      </c>
      <c r="C314" s="88" t="s">
        <v>1150</v>
      </c>
      <c r="D314" s="89"/>
      <c r="E314" s="89"/>
      <c r="F314" s="89"/>
      <c r="G314" s="89">
        <f>SG_04_01+SG_04_02+SG_04_03+SG_04_04+SG_04_05+SG_04_06+SG_04_07+SG_04_08+SG_04_09+SG_04_10+SG_04_11+SG_04_12+SG_04_13+SG_04_14+SG_04_15+SG_04_16+SG_04_17+SG_04_18+SG_04_19+SG_04_20</f>
        <v>104983.57</v>
      </c>
      <c r="H314" s="97"/>
    </row>
    <row r="315" spans="1:8" s="69" customFormat="1" ht="15.95" customHeight="1">
      <c r="A315" s="90" t="s">
        <v>120</v>
      </c>
      <c r="B315" s="90" t="s">
        <v>120</v>
      </c>
      <c r="C315" s="91" t="s">
        <v>1151</v>
      </c>
      <c r="D315" s="82"/>
      <c r="E315" s="82"/>
      <c r="F315" s="82"/>
      <c r="G315" s="82">
        <f>SUM(G316:G330)</f>
        <v>104983.57</v>
      </c>
      <c r="H315" s="97"/>
    </row>
    <row r="316" spans="1:8" s="139" customFormat="1" ht="15.95" customHeight="1">
      <c r="A316" s="135" t="s">
        <v>1152</v>
      </c>
      <c r="B316" s="135" t="s">
        <v>1153</v>
      </c>
      <c r="C316" s="136" t="s">
        <v>1154</v>
      </c>
      <c r="D316" s="137" t="s">
        <v>874</v>
      </c>
      <c r="E316" s="137">
        <v>1</v>
      </c>
      <c r="F316" s="137">
        <f t="shared" ref="F316:F328" si="18">ROUND(FATOR*H316,2)</f>
        <v>18357.72</v>
      </c>
      <c r="G316" s="137">
        <f t="shared" ref="G316:G328" si="19">ROUND(E316*F316,2)</f>
        <v>18357.72</v>
      </c>
      <c r="H316" s="141">
        <v>18357.72</v>
      </c>
    </row>
    <row r="317" spans="1:8" s="139" customFormat="1" ht="15.95" customHeight="1">
      <c r="A317" s="135" t="s">
        <v>1155</v>
      </c>
      <c r="B317" s="135" t="s">
        <v>1156</v>
      </c>
      <c r="C317" s="136" t="s">
        <v>1157</v>
      </c>
      <c r="D317" s="137" t="s">
        <v>908</v>
      </c>
      <c r="E317" s="137">
        <v>60</v>
      </c>
      <c r="F317" s="137">
        <f t="shared" si="18"/>
        <v>154.44999999999999</v>
      </c>
      <c r="G317" s="137">
        <f t="shared" si="19"/>
        <v>9267</v>
      </c>
      <c r="H317" s="141">
        <v>154.44999999999999</v>
      </c>
    </row>
    <row r="318" spans="1:8" s="139" customFormat="1" ht="15.95" customHeight="1">
      <c r="A318" s="135" t="s">
        <v>1158</v>
      </c>
      <c r="B318" s="135" t="s">
        <v>1159</v>
      </c>
      <c r="C318" s="136" t="s">
        <v>1160</v>
      </c>
      <c r="D318" s="137" t="s">
        <v>908</v>
      </c>
      <c r="E318" s="137">
        <v>18</v>
      </c>
      <c r="F318" s="137">
        <f t="shared" si="18"/>
        <v>275.02999999999997</v>
      </c>
      <c r="G318" s="137">
        <f t="shared" si="19"/>
        <v>4950.54</v>
      </c>
      <c r="H318" s="141">
        <v>275.02999999999997</v>
      </c>
    </row>
    <row r="319" spans="1:8" s="139" customFormat="1" ht="15.95" customHeight="1">
      <c r="A319" s="135" t="s">
        <v>1161</v>
      </c>
      <c r="B319" s="135" t="s">
        <v>1162</v>
      </c>
      <c r="C319" s="136" t="s">
        <v>1163</v>
      </c>
      <c r="D319" s="137" t="s">
        <v>908</v>
      </c>
      <c r="E319" s="137">
        <v>40</v>
      </c>
      <c r="F319" s="137">
        <f t="shared" si="18"/>
        <v>368.5</v>
      </c>
      <c r="G319" s="137">
        <f t="shared" si="19"/>
        <v>14740</v>
      </c>
      <c r="H319" s="141">
        <v>368.5</v>
      </c>
    </row>
    <row r="320" spans="1:8" s="139" customFormat="1" ht="15.95" customHeight="1">
      <c r="A320" s="135" t="s">
        <v>1164</v>
      </c>
      <c r="B320" s="135" t="s">
        <v>1165</v>
      </c>
      <c r="C320" s="136" t="s">
        <v>1166</v>
      </c>
      <c r="D320" s="137" t="s">
        <v>908</v>
      </c>
      <c r="E320" s="137">
        <v>60</v>
      </c>
      <c r="F320" s="137">
        <f t="shared" si="18"/>
        <v>340.83</v>
      </c>
      <c r="G320" s="137">
        <f t="shared" si="19"/>
        <v>20449.8</v>
      </c>
      <c r="H320" s="141">
        <v>340.83</v>
      </c>
    </row>
    <row r="321" spans="1:8" s="139" customFormat="1" ht="33.950000000000003" customHeight="1">
      <c r="A321" s="135" t="s">
        <v>1167</v>
      </c>
      <c r="B321" s="135" t="s">
        <v>1168</v>
      </c>
      <c r="C321" s="136" t="s">
        <v>1169</v>
      </c>
      <c r="D321" s="137" t="s">
        <v>927</v>
      </c>
      <c r="E321" s="137">
        <v>100</v>
      </c>
      <c r="F321" s="137">
        <f t="shared" si="18"/>
        <v>60.24</v>
      </c>
      <c r="G321" s="137">
        <f t="shared" si="19"/>
        <v>6024</v>
      </c>
      <c r="H321" s="141">
        <v>60.24</v>
      </c>
    </row>
    <row r="322" spans="1:8" s="139" customFormat="1" ht="24.95" customHeight="1">
      <c r="A322" s="135" t="s">
        <v>1170</v>
      </c>
      <c r="B322" s="135" t="s">
        <v>1171</v>
      </c>
      <c r="C322" s="136" t="s">
        <v>1172</v>
      </c>
      <c r="D322" s="137" t="s">
        <v>1173</v>
      </c>
      <c r="E322" s="137">
        <v>1065.5</v>
      </c>
      <c r="F322" s="137">
        <f t="shared" si="18"/>
        <v>3.04</v>
      </c>
      <c r="G322" s="137">
        <f t="shared" si="19"/>
        <v>3239.12</v>
      </c>
      <c r="H322" s="141">
        <v>3.04</v>
      </c>
    </row>
    <row r="323" spans="1:8" s="139" customFormat="1" ht="24.95" customHeight="1">
      <c r="A323" s="135" t="s">
        <v>1174</v>
      </c>
      <c r="B323" s="135" t="s">
        <v>1175</v>
      </c>
      <c r="C323" s="136" t="s">
        <v>1176</v>
      </c>
      <c r="D323" s="137" t="s">
        <v>1173</v>
      </c>
      <c r="E323" s="137">
        <v>1065.5</v>
      </c>
      <c r="F323" s="137">
        <f t="shared" si="18"/>
        <v>3.04</v>
      </c>
      <c r="G323" s="137">
        <f t="shared" si="19"/>
        <v>3239.12</v>
      </c>
      <c r="H323" s="141">
        <v>3.04</v>
      </c>
    </row>
    <row r="324" spans="1:8" s="139" customFormat="1" ht="24.95" customHeight="1">
      <c r="A324" s="135" t="s">
        <v>1177</v>
      </c>
      <c r="B324" s="135" t="s">
        <v>1178</v>
      </c>
      <c r="C324" s="136" t="s">
        <v>1179</v>
      </c>
      <c r="D324" s="137" t="s">
        <v>874</v>
      </c>
      <c r="E324" s="137">
        <v>1</v>
      </c>
      <c r="F324" s="137">
        <f t="shared" si="18"/>
        <v>1700.66</v>
      </c>
      <c r="G324" s="137">
        <f t="shared" si="19"/>
        <v>1700.66</v>
      </c>
      <c r="H324" s="141">
        <v>1700.66</v>
      </c>
    </row>
    <row r="325" spans="1:8" s="139" customFormat="1" ht="15.95" customHeight="1">
      <c r="A325" s="135" t="s">
        <v>1180</v>
      </c>
      <c r="B325" s="135" t="s">
        <v>1181</v>
      </c>
      <c r="C325" s="136" t="s">
        <v>1182</v>
      </c>
      <c r="D325" s="137" t="s">
        <v>874</v>
      </c>
      <c r="E325" s="137">
        <v>1</v>
      </c>
      <c r="F325" s="137">
        <f t="shared" si="18"/>
        <v>1303.74</v>
      </c>
      <c r="G325" s="137">
        <f t="shared" si="19"/>
        <v>1303.74</v>
      </c>
      <c r="H325" s="141">
        <v>1303.74</v>
      </c>
    </row>
    <row r="326" spans="1:8" s="139" customFormat="1" ht="15.95" customHeight="1">
      <c r="A326" s="135" t="s">
        <v>1183</v>
      </c>
      <c r="B326" s="135" t="s">
        <v>1184</v>
      </c>
      <c r="C326" s="136" t="s">
        <v>1185</v>
      </c>
      <c r="D326" s="137" t="s">
        <v>874</v>
      </c>
      <c r="E326" s="137">
        <v>1</v>
      </c>
      <c r="F326" s="137">
        <f t="shared" si="18"/>
        <v>3034.49</v>
      </c>
      <c r="G326" s="137">
        <f t="shared" si="19"/>
        <v>3034.49</v>
      </c>
      <c r="H326" s="141">
        <v>3034.49</v>
      </c>
    </row>
    <row r="327" spans="1:8" s="139" customFormat="1" ht="15.95" customHeight="1">
      <c r="A327" s="135" t="s">
        <v>1186</v>
      </c>
      <c r="B327" s="135" t="s">
        <v>1187</v>
      </c>
      <c r="C327" s="136" t="s">
        <v>1188</v>
      </c>
      <c r="D327" s="137" t="s">
        <v>908</v>
      </c>
      <c r="E327" s="137">
        <v>68</v>
      </c>
      <c r="F327" s="137">
        <f t="shared" si="18"/>
        <v>196.91</v>
      </c>
      <c r="G327" s="137">
        <f t="shared" si="19"/>
        <v>13389.88</v>
      </c>
      <c r="H327" s="141">
        <v>196.91</v>
      </c>
    </row>
    <row r="328" spans="1:8" s="139" customFormat="1" ht="15.95" customHeight="1">
      <c r="A328" s="135" t="s">
        <v>1189</v>
      </c>
      <c r="B328" s="135" t="s">
        <v>1190</v>
      </c>
      <c r="C328" s="136" t="s">
        <v>1191</v>
      </c>
      <c r="D328" s="137" t="s">
        <v>1192</v>
      </c>
      <c r="E328" s="137">
        <v>10</v>
      </c>
      <c r="F328" s="137">
        <f t="shared" si="18"/>
        <v>528.75</v>
      </c>
      <c r="G328" s="137">
        <f t="shared" si="19"/>
        <v>5287.5</v>
      </c>
      <c r="H328" s="141">
        <v>528.75</v>
      </c>
    </row>
    <row r="329" spans="1:8" s="69" customFormat="1" ht="15.95" hidden="1" customHeight="1">
      <c r="A329" s="93"/>
      <c r="B329" s="93"/>
      <c r="C329" s="94"/>
      <c r="D329" s="95"/>
      <c r="E329" s="95"/>
      <c r="F329" s="95"/>
      <c r="G329" s="95">
        <f t="shared" ref="G329:G330" si="20">ROUND(E329*F329,2)</f>
        <v>0</v>
      </c>
      <c r="H329" s="97">
        <v>0</v>
      </c>
    </row>
    <row r="330" spans="1:8" s="69" customFormat="1" ht="15.95" hidden="1" customHeight="1">
      <c r="A330" s="93"/>
      <c r="B330" s="93"/>
      <c r="C330" s="94"/>
      <c r="D330" s="95"/>
      <c r="E330" s="95"/>
      <c r="F330" s="95"/>
      <c r="G330" s="95">
        <f t="shared" si="20"/>
        <v>0</v>
      </c>
      <c r="H330" s="97">
        <v>0</v>
      </c>
    </row>
    <row r="331" spans="1:8" s="69" customFormat="1" ht="15.95" hidden="1" customHeight="1">
      <c r="A331" s="90" t="s">
        <v>121</v>
      </c>
      <c r="B331" s="90" t="s">
        <v>121</v>
      </c>
      <c r="C331" s="91" t="s">
        <v>122</v>
      </c>
      <c r="D331" s="82"/>
      <c r="E331" s="82"/>
      <c r="F331" s="82"/>
      <c r="G331" s="82">
        <f>SUM(G332:G334)</f>
        <v>0</v>
      </c>
      <c r="H331" s="97"/>
    </row>
    <row r="332" spans="1:8" s="69" customFormat="1" ht="15.95" hidden="1" customHeight="1">
      <c r="A332" s="93"/>
      <c r="B332" s="93"/>
      <c r="C332" s="94"/>
      <c r="D332" s="95"/>
      <c r="E332" s="95"/>
      <c r="F332" s="95"/>
      <c r="G332" s="95">
        <f>ROUND(E332*F332,2)</f>
        <v>0</v>
      </c>
      <c r="H332" s="97">
        <v>0</v>
      </c>
    </row>
    <row r="333" spans="1:8" s="69" customFormat="1" ht="15.95" hidden="1" customHeight="1">
      <c r="A333" s="93"/>
      <c r="B333" s="93"/>
      <c r="C333" s="94"/>
      <c r="D333" s="95"/>
      <c r="E333" s="95"/>
      <c r="F333" s="95"/>
      <c r="G333" s="95">
        <f>ROUND(E333*F333,2)</f>
        <v>0</v>
      </c>
      <c r="H333" s="97">
        <v>0</v>
      </c>
    </row>
    <row r="334" spans="1:8" s="69" customFormat="1" ht="15.95" hidden="1" customHeight="1">
      <c r="A334" s="93"/>
      <c r="B334" s="93"/>
      <c r="C334" s="94"/>
      <c r="D334" s="95"/>
      <c r="E334" s="95"/>
      <c r="F334" s="95"/>
      <c r="G334" s="95">
        <f>ROUND(E334*F334,2)</f>
        <v>0</v>
      </c>
      <c r="H334" s="97">
        <v>0</v>
      </c>
    </row>
    <row r="335" spans="1:8" s="69" customFormat="1" ht="15.95" hidden="1" customHeight="1">
      <c r="A335" s="90" t="s">
        <v>123</v>
      </c>
      <c r="B335" s="90" t="s">
        <v>123</v>
      </c>
      <c r="C335" s="91" t="s">
        <v>124</v>
      </c>
      <c r="D335" s="82"/>
      <c r="E335" s="82"/>
      <c r="F335" s="82"/>
      <c r="G335" s="82">
        <f>SUM(G336:G338)</f>
        <v>0</v>
      </c>
      <c r="H335" s="97"/>
    </row>
    <row r="336" spans="1:8" s="69" customFormat="1" ht="15.95" hidden="1" customHeight="1">
      <c r="A336" s="93"/>
      <c r="B336" s="93"/>
      <c r="C336" s="94"/>
      <c r="D336" s="95"/>
      <c r="E336" s="95"/>
      <c r="F336" s="95"/>
      <c r="G336" s="95">
        <f>ROUND(E336*F336,2)</f>
        <v>0</v>
      </c>
      <c r="H336" s="97">
        <v>0</v>
      </c>
    </row>
    <row r="337" spans="1:8" s="69" customFormat="1" ht="15.95" hidden="1" customHeight="1">
      <c r="A337" s="93"/>
      <c r="B337" s="93"/>
      <c r="C337" s="94"/>
      <c r="D337" s="95"/>
      <c r="E337" s="95"/>
      <c r="F337" s="95"/>
      <c r="G337" s="95">
        <f>ROUND(E337*F337,2)</f>
        <v>0</v>
      </c>
      <c r="H337" s="97">
        <v>0</v>
      </c>
    </row>
    <row r="338" spans="1:8" s="69" customFormat="1" ht="15.95" hidden="1" customHeight="1">
      <c r="A338" s="93"/>
      <c r="B338" s="93"/>
      <c r="C338" s="94"/>
      <c r="D338" s="95"/>
      <c r="E338" s="95"/>
      <c r="F338" s="95"/>
      <c r="G338" s="95">
        <f>ROUND(E338*F338,2)</f>
        <v>0</v>
      </c>
      <c r="H338" s="97">
        <v>0</v>
      </c>
    </row>
    <row r="339" spans="1:8" s="69" customFormat="1" ht="15.95" hidden="1" customHeight="1">
      <c r="A339" s="90" t="s">
        <v>125</v>
      </c>
      <c r="B339" s="90" t="s">
        <v>125</v>
      </c>
      <c r="C339" s="91" t="s">
        <v>126</v>
      </c>
      <c r="D339" s="82"/>
      <c r="E339" s="82"/>
      <c r="F339" s="82"/>
      <c r="G339" s="82">
        <f>SUM(G340:G342)</f>
        <v>0</v>
      </c>
      <c r="H339" s="97"/>
    </row>
    <row r="340" spans="1:8" s="69" customFormat="1" ht="15.95" hidden="1" customHeight="1">
      <c r="A340" s="93"/>
      <c r="B340" s="93"/>
      <c r="C340" s="94"/>
      <c r="D340" s="95"/>
      <c r="E340" s="95"/>
      <c r="F340" s="95"/>
      <c r="G340" s="95">
        <f>ROUND(E340*F340,2)</f>
        <v>0</v>
      </c>
      <c r="H340" s="97">
        <v>0</v>
      </c>
    </row>
    <row r="341" spans="1:8" s="69" customFormat="1" ht="15.95" hidden="1" customHeight="1">
      <c r="A341" s="93"/>
      <c r="B341" s="93"/>
      <c r="C341" s="94"/>
      <c r="D341" s="95"/>
      <c r="E341" s="95"/>
      <c r="F341" s="95"/>
      <c r="G341" s="95">
        <f>ROUND(E341*F341,2)</f>
        <v>0</v>
      </c>
      <c r="H341" s="97">
        <v>0</v>
      </c>
    </row>
    <row r="342" spans="1:8" s="69" customFormat="1" ht="15.95" hidden="1" customHeight="1">
      <c r="A342" s="93"/>
      <c r="B342" s="93"/>
      <c r="C342" s="94"/>
      <c r="D342" s="95"/>
      <c r="E342" s="95"/>
      <c r="F342" s="95"/>
      <c r="G342" s="95">
        <f>ROUND(E342*F342,2)</f>
        <v>0</v>
      </c>
      <c r="H342" s="97">
        <v>0</v>
      </c>
    </row>
    <row r="343" spans="1:8" s="69" customFormat="1" ht="15.95" hidden="1" customHeight="1">
      <c r="A343" s="90" t="s">
        <v>127</v>
      </c>
      <c r="B343" s="90" t="s">
        <v>127</v>
      </c>
      <c r="C343" s="91" t="s">
        <v>128</v>
      </c>
      <c r="D343" s="82"/>
      <c r="E343" s="82"/>
      <c r="F343" s="82"/>
      <c r="G343" s="82">
        <f>SUM(G344:G346)</f>
        <v>0</v>
      </c>
      <c r="H343" s="97"/>
    </row>
    <row r="344" spans="1:8" s="69" customFormat="1" ht="15.95" hidden="1" customHeight="1">
      <c r="A344" s="93"/>
      <c r="B344" s="93"/>
      <c r="C344" s="94"/>
      <c r="D344" s="95"/>
      <c r="E344" s="95"/>
      <c r="F344" s="95"/>
      <c r="G344" s="95">
        <f>ROUND(E344*F344,2)</f>
        <v>0</v>
      </c>
      <c r="H344" s="97">
        <v>0</v>
      </c>
    </row>
    <row r="345" spans="1:8" s="69" customFormat="1" ht="15.95" hidden="1" customHeight="1">
      <c r="A345" s="93"/>
      <c r="B345" s="93"/>
      <c r="C345" s="94"/>
      <c r="D345" s="95"/>
      <c r="E345" s="95"/>
      <c r="F345" s="95"/>
      <c r="G345" s="95">
        <f>ROUND(E345*F345,2)</f>
        <v>0</v>
      </c>
      <c r="H345" s="97">
        <v>0</v>
      </c>
    </row>
    <row r="346" spans="1:8" s="69" customFormat="1" ht="15.95" hidden="1" customHeight="1">
      <c r="A346" s="93"/>
      <c r="B346" s="93"/>
      <c r="C346" s="94"/>
      <c r="D346" s="95"/>
      <c r="E346" s="95"/>
      <c r="F346" s="95"/>
      <c r="G346" s="95">
        <f>ROUND(E346*F346,2)</f>
        <v>0</v>
      </c>
      <c r="H346" s="97">
        <v>0</v>
      </c>
    </row>
    <row r="347" spans="1:8" s="69" customFormat="1" ht="15.95" hidden="1" customHeight="1">
      <c r="A347" s="90" t="s">
        <v>129</v>
      </c>
      <c r="B347" s="90" t="s">
        <v>129</v>
      </c>
      <c r="C347" s="91" t="s">
        <v>130</v>
      </c>
      <c r="D347" s="82"/>
      <c r="E347" s="82"/>
      <c r="F347" s="82"/>
      <c r="G347" s="82">
        <f>SUM(G348:G350)</f>
        <v>0</v>
      </c>
      <c r="H347" s="97"/>
    </row>
    <row r="348" spans="1:8" s="69" customFormat="1" ht="15.95" hidden="1" customHeight="1">
      <c r="A348" s="93"/>
      <c r="B348" s="93"/>
      <c r="C348" s="94"/>
      <c r="D348" s="95"/>
      <c r="E348" s="95"/>
      <c r="F348" s="95"/>
      <c r="G348" s="95">
        <f>ROUND(E348*F348,2)</f>
        <v>0</v>
      </c>
      <c r="H348" s="97">
        <v>0</v>
      </c>
    </row>
    <row r="349" spans="1:8" s="69" customFormat="1" ht="15.95" hidden="1" customHeight="1">
      <c r="A349" s="93"/>
      <c r="B349" s="93"/>
      <c r="C349" s="94"/>
      <c r="D349" s="95"/>
      <c r="E349" s="95"/>
      <c r="F349" s="95"/>
      <c r="G349" s="95">
        <f>ROUND(E349*F349,2)</f>
        <v>0</v>
      </c>
      <c r="H349" s="97">
        <v>0</v>
      </c>
    </row>
    <row r="350" spans="1:8" s="69" customFormat="1" ht="15.95" hidden="1" customHeight="1">
      <c r="A350" s="93"/>
      <c r="B350" s="93"/>
      <c r="C350" s="94"/>
      <c r="D350" s="95"/>
      <c r="E350" s="95"/>
      <c r="F350" s="95"/>
      <c r="G350" s="95">
        <f>ROUND(E350*F350,2)</f>
        <v>0</v>
      </c>
      <c r="H350" s="97">
        <v>0</v>
      </c>
    </row>
    <row r="351" spans="1:8" s="69" customFormat="1" ht="15.95" hidden="1" customHeight="1">
      <c r="A351" s="90" t="s">
        <v>131</v>
      </c>
      <c r="B351" s="90" t="s">
        <v>131</v>
      </c>
      <c r="C351" s="91" t="s">
        <v>132</v>
      </c>
      <c r="D351" s="82"/>
      <c r="E351" s="82"/>
      <c r="F351" s="82"/>
      <c r="G351" s="82">
        <f>SUM(G352:G354)</f>
        <v>0</v>
      </c>
      <c r="H351" s="97"/>
    </row>
    <row r="352" spans="1:8" s="69" customFormat="1" ht="15.95" hidden="1" customHeight="1">
      <c r="A352" s="93"/>
      <c r="B352" s="93"/>
      <c r="C352" s="94"/>
      <c r="D352" s="95"/>
      <c r="E352" s="95"/>
      <c r="F352" s="95"/>
      <c r="G352" s="95">
        <f>ROUND(E352*F352,2)</f>
        <v>0</v>
      </c>
      <c r="H352" s="97">
        <v>0</v>
      </c>
    </row>
    <row r="353" spans="1:8" s="69" customFormat="1" ht="15.95" hidden="1" customHeight="1">
      <c r="A353" s="93"/>
      <c r="B353" s="93"/>
      <c r="C353" s="94"/>
      <c r="D353" s="95"/>
      <c r="E353" s="95"/>
      <c r="F353" s="95"/>
      <c r="G353" s="95">
        <f>ROUND(E353*F353,2)</f>
        <v>0</v>
      </c>
      <c r="H353" s="97">
        <v>0</v>
      </c>
    </row>
    <row r="354" spans="1:8" s="69" customFormat="1" ht="15.95" hidden="1" customHeight="1">
      <c r="A354" s="93"/>
      <c r="B354" s="93"/>
      <c r="C354" s="94"/>
      <c r="D354" s="95"/>
      <c r="E354" s="95"/>
      <c r="F354" s="95"/>
      <c r="G354" s="95">
        <f>ROUND(E354*F354,2)</f>
        <v>0</v>
      </c>
      <c r="H354" s="97">
        <v>0</v>
      </c>
    </row>
    <row r="355" spans="1:8" s="69" customFormat="1" ht="15.95" hidden="1" customHeight="1">
      <c r="A355" s="90" t="s">
        <v>133</v>
      </c>
      <c r="B355" s="90" t="s">
        <v>133</v>
      </c>
      <c r="C355" s="91" t="s">
        <v>134</v>
      </c>
      <c r="D355" s="82"/>
      <c r="E355" s="82"/>
      <c r="F355" s="82"/>
      <c r="G355" s="82">
        <f>SUM(G356:G358)</f>
        <v>0</v>
      </c>
      <c r="H355" s="97"/>
    </row>
    <row r="356" spans="1:8" s="69" customFormat="1" ht="15.95" hidden="1" customHeight="1">
      <c r="A356" s="93"/>
      <c r="B356" s="93"/>
      <c r="C356" s="94"/>
      <c r="D356" s="95"/>
      <c r="E356" s="95"/>
      <c r="F356" s="95"/>
      <c r="G356" s="95">
        <f>ROUND(E356*F356,2)</f>
        <v>0</v>
      </c>
      <c r="H356" s="97">
        <v>0</v>
      </c>
    </row>
    <row r="357" spans="1:8" s="69" customFormat="1" ht="15.95" hidden="1" customHeight="1">
      <c r="A357" s="93"/>
      <c r="B357" s="93"/>
      <c r="C357" s="94"/>
      <c r="D357" s="95"/>
      <c r="E357" s="95"/>
      <c r="F357" s="95"/>
      <c r="G357" s="95">
        <f>ROUND(E357*F357,2)</f>
        <v>0</v>
      </c>
      <c r="H357" s="97">
        <v>0</v>
      </c>
    </row>
    <row r="358" spans="1:8" s="69" customFormat="1" ht="15.95" hidden="1" customHeight="1">
      <c r="A358" s="93"/>
      <c r="B358" s="93"/>
      <c r="C358" s="94"/>
      <c r="D358" s="95"/>
      <c r="E358" s="95"/>
      <c r="F358" s="95"/>
      <c r="G358" s="95">
        <f>ROUND(E358*F358,2)</f>
        <v>0</v>
      </c>
      <c r="H358" s="97">
        <v>0</v>
      </c>
    </row>
    <row r="359" spans="1:8" s="69" customFormat="1" ht="15.95" hidden="1" customHeight="1">
      <c r="A359" s="90" t="s">
        <v>135</v>
      </c>
      <c r="B359" s="90" t="s">
        <v>135</v>
      </c>
      <c r="C359" s="91" t="s">
        <v>136</v>
      </c>
      <c r="D359" s="82"/>
      <c r="E359" s="82"/>
      <c r="F359" s="82"/>
      <c r="G359" s="82">
        <f>SUM(G360:G362)</f>
        <v>0</v>
      </c>
      <c r="H359" s="97"/>
    </row>
    <row r="360" spans="1:8" s="69" customFormat="1" ht="15.95" hidden="1" customHeight="1">
      <c r="A360" s="93"/>
      <c r="B360" s="93"/>
      <c r="C360" s="94"/>
      <c r="D360" s="95"/>
      <c r="E360" s="95"/>
      <c r="F360" s="95"/>
      <c r="G360" s="95">
        <f>ROUND(E360*F360,2)</f>
        <v>0</v>
      </c>
      <c r="H360" s="97">
        <v>0</v>
      </c>
    </row>
    <row r="361" spans="1:8" s="69" customFormat="1" ht="15.95" hidden="1" customHeight="1">
      <c r="A361" s="93"/>
      <c r="B361" s="93"/>
      <c r="C361" s="94"/>
      <c r="D361" s="95"/>
      <c r="E361" s="95"/>
      <c r="F361" s="95"/>
      <c r="G361" s="95">
        <f>ROUND(E361*F361,2)</f>
        <v>0</v>
      </c>
      <c r="H361" s="97">
        <v>0</v>
      </c>
    </row>
    <row r="362" spans="1:8" s="69" customFormat="1" ht="15.95" hidden="1" customHeight="1">
      <c r="A362" s="93"/>
      <c r="B362" s="93"/>
      <c r="C362" s="94"/>
      <c r="D362" s="95"/>
      <c r="E362" s="95"/>
      <c r="F362" s="95"/>
      <c r="G362" s="95">
        <f>ROUND(E362*F362,2)</f>
        <v>0</v>
      </c>
      <c r="H362" s="97">
        <v>0</v>
      </c>
    </row>
    <row r="363" spans="1:8" s="69" customFormat="1" ht="15.95" hidden="1" customHeight="1">
      <c r="A363" s="90" t="s">
        <v>137</v>
      </c>
      <c r="B363" s="90" t="s">
        <v>137</v>
      </c>
      <c r="C363" s="91" t="s">
        <v>138</v>
      </c>
      <c r="D363" s="82"/>
      <c r="E363" s="82"/>
      <c r="F363" s="82"/>
      <c r="G363" s="82">
        <f>SUM(G364:G366)</f>
        <v>0</v>
      </c>
      <c r="H363" s="97"/>
    </row>
    <row r="364" spans="1:8" s="69" customFormat="1" ht="15.95" hidden="1" customHeight="1">
      <c r="A364" s="93"/>
      <c r="B364" s="93"/>
      <c r="C364" s="94"/>
      <c r="D364" s="95"/>
      <c r="E364" s="95"/>
      <c r="F364" s="95"/>
      <c r="G364" s="95">
        <f>ROUND(E364*F364,2)</f>
        <v>0</v>
      </c>
      <c r="H364" s="97">
        <v>0</v>
      </c>
    </row>
    <row r="365" spans="1:8" s="69" customFormat="1" ht="15.95" hidden="1" customHeight="1">
      <c r="A365" s="93"/>
      <c r="B365" s="93"/>
      <c r="C365" s="94"/>
      <c r="D365" s="95"/>
      <c r="E365" s="95"/>
      <c r="F365" s="95"/>
      <c r="G365" s="95">
        <f>ROUND(E365*F365,2)</f>
        <v>0</v>
      </c>
      <c r="H365" s="97">
        <v>0</v>
      </c>
    </row>
    <row r="366" spans="1:8" s="69" customFormat="1" ht="15.95" hidden="1" customHeight="1">
      <c r="A366" s="93"/>
      <c r="B366" s="93"/>
      <c r="C366" s="94"/>
      <c r="D366" s="95"/>
      <c r="E366" s="95"/>
      <c r="F366" s="95"/>
      <c r="G366" s="95">
        <f>ROUND(E366*F366,2)</f>
        <v>0</v>
      </c>
      <c r="H366" s="97">
        <v>0</v>
      </c>
    </row>
    <row r="367" spans="1:8" s="69" customFormat="1" ht="15.95" hidden="1" customHeight="1">
      <c r="A367" s="90" t="s">
        <v>139</v>
      </c>
      <c r="B367" s="90" t="s">
        <v>139</v>
      </c>
      <c r="C367" s="91" t="s">
        <v>140</v>
      </c>
      <c r="D367" s="82"/>
      <c r="E367" s="82"/>
      <c r="F367" s="82"/>
      <c r="G367" s="82">
        <f>SUM(G368:G370)</f>
        <v>0</v>
      </c>
      <c r="H367" s="97"/>
    </row>
    <row r="368" spans="1:8" s="69" customFormat="1" ht="15.95" hidden="1" customHeight="1">
      <c r="A368" s="93"/>
      <c r="B368" s="93"/>
      <c r="C368" s="94"/>
      <c r="D368" s="95"/>
      <c r="E368" s="95"/>
      <c r="F368" s="95"/>
      <c r="G368" s="95">
        <f>ROUND(E368*F368,2)</f>
        <v>0</v>
      </c>
      <c r="H368" s="97">
        <v>0</v>
      </c>
    </row>
    <row r="369" spans="1:8" s="69" customFormat="1" ht="15.95" hidden="1" customHeight="1">
      <c r="A369" s="93"/>
      <c r="B369" s="93"/>
      <c r="C369" s="94"/>
      <c r="D369" s="95"/>
      <c r="E369" s="95"/>
      <c r="F369" s="95"/>
      <c r="G369" s="95">
        <f>ROUND(E369*F369,2)</f>
        <v>0</v>
      </c>
      <c r="H369" s="97">
        <v>0</v>
      </c>
    </row>
    <row r="370" spans="1:8" s="69" customFormat="1" ht="15.95" hidden="1" customHeight="1">
      <c r="A370" s="93"/>
      <c r="B370" s="93"/>
      <c r="C370" s="94"/>
      <c r="D370" s="95"/>
      <c r="E370" s="95"/>
      <c r="F370" s="95"/>
      <c r="G370" s="95">
        <f>ROUND(E370*F370,2)</f>
        <v>0</v>
      </c>
      <c r="H370" s="97">
        <v>0</v>
      </c>
    </row>
    <row r="371" spans="1:8" s="69" customFormat="1" ht="15.95" hidden="1" customHeight="1">
      <c r="A371" s="90" t="s">
        <v>141</v>
      </c>
      <c r="B371" s="90" t="s">
        <v>141</v>
      </c>
      <c r="C371" s="91" t="s">
        <v>142</v>
      </c>
      <c r="D371" s="82"/>
      <c r="E371" s="82"/>
      <c r="F371" s="82"/>
      <c r="G371" s="82">
        <f>SUM(G372:G374)</f>
        <v>0</v>
      </c>
      <c r="H371" s="97"/>
    </row>
    <row r="372" spans="1:8" s="69" customFormat="1" ht="15.95" hidden="1" customHeight="1">
      <c r="A372" s="93"/>
      <c r="B372" s="93"/>
      <c r="C372" s="94"/>
      <c r="D372" s="95"/>
      <c r="E372" s="95"/>
      <c r="F372" s="95"/>
      <c r="G372" s="95">
        <f>ROUND(E372*F372,2)</f>
        <v>0</v>
      </c>
      <c r="H372" s="97">
        <v>0</v>
      </c>
    </row>
    <row r="373" spans="1:8" s="69" customFormat="1" ht="15.95" hidden="1" customHeight="1">
      <c r="A373" s="93"/>
      <c r="B373" s="93"/>
      <c r="C373" s="94"/>
      <c r="D373" s="95"/>
      <c r="E373" s="95"/>
      <c r="F373" s="95"/>
      <c r="G373" s="95">
        <f>ROUND(E373*F373,2)</f>
        <v>0</v>
      </c>
      <c r="H373" s="97">
        <v>0</v>
      </c>
    </row>
    <row r="374" spans="1:8" s="69" customFormat="1" ht="15.95" hidden="1" customHeight="1">
      <c r="A374" s="93"/>
      <c r="B374" s="93"/>
      <c r="C374" s="94"/>
      <c r="D374" s="95"/>
      <c r="E374" s="95"/>
      <c r="F374" s="95"/>
      <c r="G374" s="95">
        <f>ROUND(E374*F374,2)</f>
        <v>0</v>
      </c>
      <c r="H374" s="97">
        <v>0</v>
      </c>
    </row>
    <row r="375" spans="1:8" s="69" customFormat="1" ht="15.95" hidden="1" customHeight="1">
      <c r="A375" s="90" t="s">
        <v>143</v>
      </c>
      <c r="B375" s="90" t="s">
        <v>143</v>
      </c>
      <c r="C375" s="91" t="s">
        <v>144</v>
      </c>
      <c r="D375" s="82"/>
      <c r="E375" s="82"/>
      <c r="F375" s="82"/>
      <c r="G375" s="82">
        <f>SUM(G376:G378)</f>
        <v>0</v>
      </c>
      <c r="H375" s="97"/>
    </row>
    <row r="376" spans="1:8" s="69" customFormat="1" ht="15.95" hidden="1" customHeight="1">
      <c r="A376" s="93"/>
      <c r="B376" s="93"/>
      <c r="C376" s="94"/>
      <c r="D376" s="95"/>
      <c r="E376" s="95"/>
      <c r="F376" s="95"/>
      <c r="G376" s="95">
        <f>ROUND(E376*F376,2)</f>
        <v>0</v>
      </c>
      <c r="H376" s="97">
        <v>0</v>
      </c>
    </row>
    <row r="377" spans="1:8" s="69" customFormat="1" ht="15.95" hidden="1" customHeight="1">
      <c r="A377" s="93"/>
      <c r="B377" s="93"/>
      <c r="C377" s="94"/>
      <c r="D377" s="95"/>
      <c r="E377" s="95"/>
      <c r="F377" s="95"/>
      <c r="G377" s="95">
        <f>ROUND(E377*F377,2)</f>
        <v>0</v>
      </c>
      <c r="H377" s="97">
        <v>0</v>
      </c>
    </row>
    <row r="378" spans="1:8" s="69" customFormat="1" ht="15.95" hidden="1" customHeight="1">
      <c r="A378" s="93"/>
      <c r="B378" s="93"/>
      <c r="C378" s="94"/>
      <c r="D378" s="95"/>
      <c r="E378" s="95"/>
      <c r="F378" s="95"/>
      <c r="G378" s="95">
        <f>ROUND(E378*F378,2)</f>
        <v>0</v>
      </c>
      <c r="H378" s="97">
        <v>0</v>
      </c>
    </row>
    <row r="379" spans="1:8" s="69" customFormat="1" ht="15.95" hidden="1" customHeight="1">
      <c r="A379" s="90" t="s">
        <v>145</v>
      </c>
      <c r="B379" s="90" t="s">
        <v>145</v>
      </c>
      <c r="C379" s="91" t="s">
        <v>146</v>
      </c>
      <c r="D379" s="82"/>
      <c r="E379" s="82"/>
      <c r="F379" s="82"/>
      <c r="G379" s="82">
        <f>SUM(G380:G382)</f>
        <v>0</v>
      </c>
      <c r="H379" s="97"/>
    </row>
    <row r="380" spans="1:8" s="69" customFormat="1" ht="15.95" hidden="1" customHeight="1">
      <c r="A380" s="93"/>
      <c r="B380" s="93"/>
      <c r="C380" s="94"/>
      <c r="D380" s="95"/>
      <c r="E380" s="95"/>
      <c r="F380" s="95"/>
      <c r="G380" s="95">
        <f>ROUND(E380*F380,2)</f>
        <v>0</v>
      </c>
      <c r="H380" s="97">
        <v>0</v>
      </c>
    </row>
    <row r="381" spans="1:8" s="69" customFormat="1" ht="15.95" hidden="1" customHeight="1">
      <c r="A381" s="93"/>
      <c r="B381" s="93"/>
      <c r="C381" s="94"/>
      <c r="D381" s="95"/>
      <c r="E381" s="95"/>
      <c r="F381" s="95"/>
      <c r="G381" s="95">
        <f>ROUND(E381*F381,2)</f>
        <v>0</v>
      </c>
      <c r="H381" s="97">
        <v>0</v>
      </c>
    </row>
    <row r="382" spans="1:8" s="69" customFormat="1" ht="15.95" hidden="1" customHeight="1">
      <c r="A382" s="93"/>
      <c r="B382" s="93"/>
      <c r="C382" s="94"/>
      <c r="D382" s="95"/>
      <c r="E382" s="95"/>
      <c r="F382" s="95"/>
      <c r="G382" s="95">
        <f>ROUND(E382*F382,2)</f>
        <v>0</v>
      </c>
      <c r="H382" s="97">
        <v>0</v>
      </c>
    </row>
    <row r="383" spans="1:8" s="69" customFormat="1" ht="15.95" hidden="1" customHeight="1">
      <c r="A383" s="90" t="s">
        <v>147</v>
      </c>
      <c r="B383" s="90" t="s">
        <v>147</v>
      </c>
      <c r="C383" s="91" t="s">
        <v>148</v>
      </c>
      <c r="D383" s="82"/>
      <c r="E383" s="82"/>
      <c r="F383" s="82"/>
      <c r="G383" s="82">
        <f>SUM(G384:G386)</f>
        <v>0</v>
      </c>
      <c r="H383" s="97"/>
    </row>
    <row r="384" spans="1:8" s="69" customFormat="1" ht="15.95" hidden="1" customHeight="1">
      <c r="A384" s="93"/>
      <c r="B384" s="93"/>
      <c r="C384" s="94"/>
      <c r="D384" s="95"/>
      <c r="E384" s="95"/>
      <c r="F384" s="95"/>
      <c r="G384" s="95">
        <f>ROUND(E384*F384,2)</f>
        <v>0</v>
      </c>
      <c r="H384" s="97">
        <v>0</v>
      </c>
    </row>
    <row r="385" spans="1:8" s="69" customFormat="1" ht="15.95" hidden="1" customHeight="1">
      <c r="A385" s="93"/>
      <c r="B385" s="93"/>
      <c r="C385" s="94"/>
      <c r="D385" s="95"/>
      <c r="E385" s="95"/>
      <c r="F385" s="95"/>
      <c r="G385" s="95">
        <f>ROUND(E385*F385,2)</f>
        <v>0</v>
      </c>
      <c r="H385" s="97">
        <v>0</v>
      </c>
    </row>
    <row r="386" spans="1:8" s="69" customFormat="1" ht="15.95" hidden="1" customHeight="1">
      <c r="A386" s="93"/>
      <c r="B386" s="93"/>
      <c r="C386" s="94"/>
      <c r="D386" s="95"/>
      <c r="E386" s="95"/>
      <c r="F386" s="95"/>
      <c r="G386" s="95">
        <f>ROUND(E386*F386,2)</f>
        <v>0</v>
      </c>
      <c r="H386" s="97">
        <v>0</v>
      </c>
    </row>
    <row r="387" spans="1:8" s="69" customFormat="1" ht="15.95" hidden="1" customHeight="1">
      <c r="A387" s="90" t="s">
        <v>149</v>
      </c>
      <c r="B387" s="90" t="s">
        <v>149</v>
      </c>
      <c r="C387" s="91" t="s">
        <v>150</v>
      </c>
      <c r="D387" s="82"/>
      <c r="E387" s="82"/>
      <c r="F387" s="82"/>
      <c r="G387" s="82">
        <f>SUM(G388:G390)</f>
        <v>0</v>
      </c>
      <c r="H387" s="97"/>
    </row>
    <row r="388" spans="1:8" s="69" customFormat="1" ht="15.95" hidden="1" customHeight="1">
      <c r="A388" s="93"/>
      <c r="B388" s="93"/>
      <c r="C388" s="94"/>
      <c r="D388" s="95"/>
      <c r="E388" s="95"/>
      <c r="F388" s="95"/>
      <c r="G388" s="95">
        <f>ROUND(E388*F388,2)</f>
        <v>0</v>
      </c>
      <c r="H388" s="96">
        <v>0</v>
      </c>
    </row>
    <row r="389" spans="1:8" s="69" customFormat="1" ht="15.95" hidden="1" customHeight="1">
      <c r="A389" s="93"/>
      <c r="B389" s="93"/>
      <c r="C389" s="94"/>
      <c r="D389" s="95"/>
      <c r="E389" s="95"/>
      <c r="F389" s="95"/>
      <c r="G389" s="95">
        <f>ROUND(E389*F389,2)</f>
        <v>0</v>
      </c>
      <c r="H389" s="96">
        <v>0</v>
      </c>
    </row>
    <row r="390" spans="1:8" s="69" customFormat="1" ht="15.95" hidden="1" customHeight="1">
      <c r="A390" s="93"/>
      <c r="B390" s="93"/>
      <c r="C390" s="94"/>
      <c r="D390" s="95"/>
      <c r="E390" s="95"/>
      <c r="F390" s="95"/>
      <c r="G390" s="95">
        <f>ROUND(E390*F390,2)</f>
        <v>0</v>
      </c>
      <c r="H390" s="96">
        <v>0</v>
      </c>
    </row>
    <row r="391" spans="1:8" s="69" customFormat="1" ht="15.95" hidden="1" customHeight="1">
      <c r="A391" s="90" t="s">
        <v>151</v>
      </c>
      <c r="B391" s="90" t="s">
        <v>151</v>
      </c>
      <c r="C391" s="91" t="s">
        <v>152</v>
      </c>
      <c r="D391" s="82"/>
      <c r="E391" s="82"/>
      <c r="F391" s="82"/>
      <c r="G391" s="82">
        <f>SUM(G392:G394)</f>
        <v>0</v>
      </c>
      <c r="H391" s="97"/>
    </row>
    <row r="392" spans="1:8" s="69" customFormat="1" ht="15.95" hidden="1" customHeight="1">
      <c r="A392" s="93"/>
      <c r="B392" s="93"/>
      <c r="C392" s="94"/>
      <c r="D392" s="95"/>
      <c r="E392" s="95"/>
      <c r="F392" s="95"/>
      <c r="G392" s="95">
        <f>ROUND(E392*F392,2)</f>
        <v>0</v>
      </c>
      <c r="H392" s="96">
        <v>0</v>
      </c>
    </row>
    <row r="393" spans="1:8" s="69" customFormat="1" ht="15.95" hidden="1" customHeight="1">
      <c r="A393" s="93"/>
      <c r="B393" s="93"/>
      <c r="C393" s="94"/>
      <c r="D393" s="95"/>
      <c r="E393" s="95"/>
      <c r="F393" s="95"/>
      <c r="G393" s="95">
        <f>ROUND(E393*F393,2)</f>
        <v>0</v>
      </c>
      <c r="H393" s="96">
        <v>0</v>
      </c>
    </row>
    <row r="394" spans="1:8" s="69" customFormat="1" ht="15.95" hidden="1" customHeight="1">
      <c r="A394" s="93"/>
      <c r="B394" s="93"/>
      <c r="C394" s="94"/>
      <c r="D394" s="95"/>
      <c r="E394" s="95"/>
      <c r="F394" s="95"/>
      <c r="G394" s="95">
        <f>ROUND(E394*F394,2)</f>
        <v>0</v>
      </c>
      <c r="H394" s="96">
        <v>0</v>
      </c>
    </row>
    <row r="395" spans="1:8" s="69" customFormat="1" ht="15.95" hidden="1" customHeight="1">
      <c r="A395" s="90" t="s">
        <v>153</v>
      </c>
      <c r="B395" s="90" t="s">
        <v>153</v>
      </c>
      <c r="C395" s="91" t="s">
        <v>154</v>
      </c>
      <c r="D395" s="82"/>
      <c r="E395" s="82"/>
      <c r="F395" s="82"/>
      <c r="G395" s="82">
        <f>SUM(G396:G398)</f>
        <v>0</v>
      </c>
      <c r="H395" s="97"/>
    </row>
    <row r="396" spans="1:8" s="69" customFormat="1" ht="15.95" hidden="1" customHeight="1">
      <c r="A396" s="93"/>
      <c r="B396" s="93"/>
      <c r="C396" s="94"/>
      <c r="D396" s="95"/>
      <c r="E396" s="95"/>
      <c r="F396" s="95"/>
      <c r="G396" s="95">
        <f>ROUND(E396*F396,2)</f>
        <v>0</v>
      </c>
      <c r="H396" s="96">
        <v>0</v>
      </c>
    </row>
    <row r="397" spans="1:8" s="69" customFormat="1" ht="15.95" hidden="1" customHeight="1">
      <c r="A397" s="93"/>
      <c r="B397" s="93"/>
      <c r="C397" s="94"/>
      <c r="D397" s="95"/>
      <c r="E397" s="95"/>
      <c r="F397" s="95"/>
      <c r="G397" s="95">
        <f>ROUND(E397*F397,2)</f>
        <v>0</v>
      </c>
      <c r="H397" s="96">
        <v>0</v>
      </c>
    </row>
    <row r="398" spans="1:8" s="69" customFormat="1" ht="15.95" hidden="1" customHeight="1">
      <c r="A398" s="93"/>
      <c r="B398" s="93"/>
      <c r="C398" s="94"/>
      <c r="D398" s="95"/>
      <c r="E398" s="95"/>
      <c r="F398" s="95"/>
      <c r="G398" s="95">
        <f>ROUND(E398*F398,2)</f>
        <v>0</v>
      </c>
      <c r="H398" s="96">
        <v>0</v>
      </c>
    </row>
    <row r="399" spans="1:8" s="69" customFormat="1" ht="15.95" hidden="1" customHeight="1">
      <c r="A399" s="90" t="s">
        <v>155</v>
      </c>
      <c r="B399" s="90" t="s">
        <v>155</v>
      </c>
      <c r="C399" s="91" t="s">
        <v>156</v>
      </c>
      <c r="D399" s="82"/>
      <c r="E399" s="82"/>
      <c r="F399" s="82"/>
      <c r="G399" s="82">
        <f>SUM(G400:G402)</f>
        <v>0</v>
      </c>
      <c r="H399" s="97"/>
    </row>
    <row r="400" spans="1:8" s="69" customFormat="1" ht="15.95" hidden="1" customHeight="1">
      <c r="A400" s="93"/>
      <c r="B400" s="93"/>
      <c r="C400" s="94"/>
      <c r="D400" s="95"/>
      <c r="E400" s="95"/>
      <c r="F400" s="95"/>
      <c r="G400" s="95">
        <f>ROUND(E400*F400,2)</f>
        <v>0</v>
      </c>
      <c r="H400" s="96">
        <v>0</v>
      </c>
    </row>
    <row r="401" spans="1:8" s="69" customFormat="1" ht="15.95" hidden="1" customHeight="1">
      <c r="A401" s="93"/>
      <c r="B401" s="93"/>
      <c r="C401" s="94"/>
      <c r="D401" s="95"/>
      <c r="E401" s="95"/>
      <c r="F401" s="95"/>
      <c r="G401" s="95">
        <f>ROUND(E401*F401,2)</f>
        <v>0</v>
      </c>
      <c r="H401" s="96">
        <v>0</v>
      </c>
    </row>
    <row r="402" spans="1:8" s="69" customFormat="1" ht="15.95" hidden="1" customHeight="1">
      <c r="A402" s="93"/>
      <c r="B402" s="93"/>
      <c r="C402" s="94"/>
      <c r="D402" s="95"/>
      <c r="E402" s="95"/>
      <c r="F402" s="95"/>
      <c r="G402" s="95">
        <f>ROUND(E402*F402,2)</f>
        <v>0</v>
      </c>
      <c r="H402" s="96">
        <v>0</v>
      </c>
    </row>
    <row r="403" spans="1:8" s="69" customFormat="1" ht="15.95" hidden="1" customHeight="1">
      <c r="A403" s="90" t="s">
        <v>157</v>
      </c>
      <c r="B403" s="90" t="s">
        <v>157</v>
      </c>
      <c r="C403" s="91" t="s">
        <v>158</v>
      </c>
      <c r="D403" s="82"/>
      <c r="E403" s="82"/>
      <c r="F403" s="82"/>
      <c r="G403" s="82">
        <f>SUM(G404:G406)</f>
        <v>0</v>
      </c>
      <c r="H403" s="97"/>
    </row>
    <row r="404" spans="1:8" s="69" customFormat="1" ht="15.95" hidden="1" customHeight="1">
      <c r="A404" s="93"/>
      <c r="B404" s="93"/>
      <c r="C404" s="94"/>
      <c r="D404" s="95"/>
      <c r="E404" s="95"/>
      <c r="F404" s="95"/>
      <c r="G404" s="95">
        <f>ROUND(E404*F404,2)</f>
        <v>0</v>
      </c>
      <c r="H404" s="96">
        <v>0</v>
      </c>
    </row>
    <row r="405" spans="1:8" s="69" customFormat="1" ht="15.95" hidden="1" customHeight="1">
      <c r="A405" s="93"/>
      <c r="B405" s="93"/>
      <c r="C405" s="94"/>
      <c r="D405" s="95"/>
      <c r="E405" s="95"/>
      <c r="F405" s="95"/>
      <c r="G405" s="95">
        <f>ROUND(E405*F405,2)</f>
        <v>0</v>
      </c>
      <c r="H405" s="96">
        <v>0</v>
      </c>
    </row>
    <row r="406" spans="1:8" s="69" customFormat="1" ht="15.95" hidden="1" customHeight="1">
      <c r="A406" s="93"/>
      <c r="B406" s="93"/>
      <c r="C406" s="94"/>
      <c r="D406" s="95"/>
      <c r="E406" s="95"/>
      <c r="F406" s="95"/>
      <c r="G406" s="95">
        <f>ROUND(E406*F406,2)</f>
        <v>0</v>
      </c>
      <c r="H406" s="96">
        <v>0</v>
      </c>
    </row>
    <row r="407" spans="1:8" s="69" customFormat="1" ht="15.95" hidden="1" customHeight="1">
      <c r="A407" s="83"/>
      <c r="B407" s="83"/>
      <c r="C407" s="84" t="s">
        <v>159</v>
      </c>
      <c r="D407" s="85"/>
      <c r="E407" s="85"/>
      <c r="F407" s="85"/>
      <c r="G407" s="82"/>
      <c r="H407" s="97"/>
    </row>
    <row r="408" spans="1:8" s="69" customFormat="1" ht="15.95" customHeight="1">
      <c r="A408" s="87" t="s">
        <v>160</v>
      </c>
      <c r="B408" s="87" t="s">
        <v>160</v>
      </c>
      <c r="C408" s="88" t="s">
        <v>1193</v>
      </c>
      <c r="D408" s="89"/>
      <c r="E408" s="89"/>
      <c r="F408" s="89"/>
      <c r="G408" s="89">
        <f>SG_05_01+SG_05_02+SG_05_03+SG_05_04+SG_05_05+SG_05_06+SG_05_07+SG_05_08+SG_05_09+SG_05_10+SG_05_11+SG_05_12+SG_05_13+SG_05_14+SG_05_15+SG_05_16+SG_05_17+SG_05_18+SG_05_19+SG_05_20</f>
        <v>142597.72</v>
      </c>
      <c r="H408" s="97"/>
    </row>
    <row r="409" spans="1:8" s="69" customFormat="1" ht="15.95" customHeight="1">
      <c r="A409" s="90" t="s">
        <v>161</v>
      </c>
      <c r="B409" s="90" t="s">
        <v>161</v>
      </c>
      <c r="C409" s="91" t="s">
        <v>1193</v>
      </c>
      <c r="D409" s="82"/>
      <c r="E409" s="82"/>
      <c r="F409" s="82"/>
      <c r="G409" s="82">
        <f>SUM(G410:G412)</f>
        <v>142597.72</v>
      </c>
      <c r="H409" s="97"/>
    </row>
    <row r="410" spans="1:8" s="146" customFormat="1" ht="15.95" customHeight="1">
      <c r="A410" s="142" t="s">
        <v>1199</v>
      </c>
      <c r="B410" s="142" t="s">
        <v>1194</v>
      </c>
      <c r="C410" s="143" t="s">
        <v>1193</v>
      </c>
      <c r="D410" s="144" t="s">
        <v>874</v>
      </c>
      <c r="E410" s="144">
        <v>1</v>
      </c>
      <c r="F410" s="144">
        <f>ROUND(FATOR*H410,2)</f>
        <v>142597.72</v>
      </c>
      <c r="G410" s="144">
        <f>ROUND(E410*F410,2)</f>
        <v>142597.72</v>
      </c>
      <c r="H410" s="147">
        <v>142597.72</v>
      </c>
    </row>
    <row r="411" spans="1:8" s="69" customFormat="1" ht="15.95" hidden="1" customHeight="1">
      <c r="A411" s="93"/>
      <c r="B411" s="93"/>
      <c r="C411" s="94"/>
      <c r="D411" s="95"/>
      <c r="E411" s="95"/>
      <c r="F411" s="95"/>
      <c r="G411" s="95">
        <f>ROUND(E411*F411,2)</f>
        <v>0</v>
      </c>
      <c r="H411" s="97">
        <v>0</v>
      </c>
    </row>
    <row r="412" spans="1:8" s="69" customFormat="1" ht="15.95" hidden="1" customHeight="1">
      <c r="A412" s="93"/>
      <c r="B412" s="93"/>
      <c r="C412" s="94"/>
      <c r="D412" s="95"/>
      <c r="E412" s="95"/>
      <c r="F412" s="95"/>
      <c r="G412" s="95">
        <f>ROUND(E412*F412,2)</f>
        <v>0</v>
      </c>
      <c r="H412" s="97">
        <v>0</v>
      </c>
    </row>
    <row r="413" spans="1:8" s="69" customFormat="1" ht="15.95" hidden="1" customHeight="1">
      <c r="A413" s="90" t="s">
        <v>162</v>
      </c>
      <c r="B413" s="90" t="s">
        <v>162</v>
      </c>
      <c r="C413" s="91" t="s">
        <v>163</v>
      </c>
      <c r="D413" s="82"/>
      <c r="E413" s="82"/>
      <c r="F413" s="82"/>
      <c r="G413" s="82">
        <f>SUM(G414:G416)</f>
        <v>0</v>
      </c>
      <c r="H413" s="97"/>
    </row>
    <row r="414" spans="1:8" s="69" customFormat="1" ht="15.95" hidden="1" customHeight="1">
      <c r="A414" s="93"/>
      <c r="B414" s="93"/>
      <c r="C414" s="94"/>
      <c r="D414" s="95"/>
      <c r="E414" s="95"/>
      <c r="F414" s="95"/>
      <c r="G414" s="95">
        <f>ROUND(E414*F414,2)</f>
        <v>0</v>
      </c>
      <c r="H414" s="97">
        <v>0</v>
      </c>
    </row>
    <row r="415" spans="1:8" s="69" customFormat="1" ht="15.95" hidden="1" customHeight="1">
      <c r="A415" s="93"/>
      <c r="B415" s="93"/>
      <c r="C415" s="94"/>
      <c r="D415" s="95"/>
      <c r="E415" s="95"/>
      <c r="F415" s="95"/>
      <c r="G415" s="95">
        <f>ROUND(E415*F415,2)</f>
        <v>0</v>
      </c>
      <c r="H415" s="97">
        <v>0</v>
      </c>
    </row>
    <row r="416" spans="1:8" s="69" customFormat="1" ht="15.95" hidden="1" customHeight="1">
      <c r="A416" s="93"/>
      <c r="B416" s="93"/>
      <c r="C416" s="94"/>
      <c r="D416" s="95"/>
      <c r="E416" s="95"/>
      <c r="F416" s="95"/>
      <c r="G416" s="95">
        <f>ROUND(E416*F416,2)</f>
        <v>0</v>
      </c>
      <c r="H416" s="97">
        <v>0</v>
      </c>
    </row>
    <row r="417" spans="1:8" s="69" customFormat="1" ht="15.95" hidden="1" customHeight="1">
      <c r="A417" s="90" t="s">
        <v>164</v>
      </c>
      <c r="B417" s="90" t="s">
        <v>164</v>
      </c>
      <c r="C417" s="91" t="s">
        <v>165</v>
      </c>
      <c r="D417" s="82"/>
      <c r="E417" s="82"/>
      <c r="F417" s="82"/>
      <c r="G417" s="82">
        <f>SUM(G418:G420)</f>
        <v>0</v>
      </c>
      <c r="H417" s="97"/>
    </row>
    <row r="418" spans="1:8" s="69" customFormat="1" ht="15.95" hidden="1" customHeight="1">
      <c r="A418" s="93"/>
      <c r="B418" s="93"/>
      <c r="C418" s="94"/>
      <c r="D418" s="95"/>
      <c r="E418" s="95"/>
      <c r="F418" s="95"/>
      <c r="G418" s="95">
        <f>ROUND(E418*F418,2)</f>
        <v>0</v>
      </c>
      <c r="H418" s="97">
        <v>0</v>
      </c>
    </row>
    <row r="419" spans="1:8" s="69" customFormat="1" ht="15.95" hidden="1" customHeight="1">
      <c r="A419" s="93"/>
      <c r="B419" s="93"/>
      <c r="C419" s="94"/>
      <c r="D419" s="95"/>
      <c r="E419" s="95"/>
      <c r="F419" s="95"/>
      <c r="G419" s="95">
        <f>ROUND(E419*F419,2)</f>
        <v>0</v>
      </c>
      <c r="H419" s="97">
        <v>0</v>
      </c>
    </row>
    <row r="420" spans="1:8" s="69" customFormat="1" ht="15.95" hidden="1" customHeight="1">
      <c r="A420" s="93"/>
      <c r="B420" s="93"/>
      <c r="C420" s="94"/>
      <c r="D420" s="95"/>
      <c r="E420" s="95"/>
      <c r="F420" s="95"/>
      <c r="G420" s="95">
        <f>ROUND(E420*F420,2)</f>
        <v>0</v>
      </c>
      <c r="H420" s="97">
        <v>0</v>
      </c>
    </row>
    <row r="421" spans="1:8" s="69" customFormat="1" ht="15.95" hidden="1" customHeight="1">
      <c r="A421" s="90" t="s">
        <v>166</v>
      </c>
      <c r="B421" s="90" t="s">
        <v>166</v>
      </c>
      <c r="C421" s="91" t="s">
        <v>167</v>
      </c>
      <c r="D421" s="82"/>
      <c r="E421" s="82"/>
      <c r="F421" s="82"/>
      <c r="G421" s="82">
        <f>SUM(G422:G424)</f>
        <v>0</v>
      </c>
      <c r="H421" s="97"/>
    </row>
    <row r="422" spans="1:8" s="69" customFormat="1" ht="15.95" hidden="1" customHeight="1">
      <c r="A422" s="93"/>
      <c r="B422" s="93"/>
      <c r="C422" s="94"/>
      <c r="D422" s="95"/>
      <c r="E422" s="95"/>
      <c r="F422" s="95"/>
      <c r="G422" s="95">
        <f>ROUND(E422*F422,2)</f>
        <v>0</v>
      </c>
      <c r="H422" s="97">
        <v>0</v>
      </c>
    </row>
    <row r="423" spans="1:8" s="69" customFormat="1" ht="15.95" hidden="1" customHeight="1">
      <c r="A423" s="93"/>
      <c r="B423" s="93"/>
      <c r="C423" s="94"/>
      <c r="D423" s="95"/>
      <c r="E423" s="95"/>
      <c r="F423" s="95"/>
      <c r="G423" s="95">
        <f>ROUND(E423*F423,2)</f>
        <v>0</v>
      </c>
      <c r="H423" s="97">
        <v>0</v>
      </c>
    </row>
    <row r="424" spans="1:8" s="69" customFormat="1" ht="15.95" hidden="1" customHeight="1">
      <c r="A424" s="93"/>
      <c r="B424" s="93"/>
      <c r="C424" s="94"/>
      <c r="D424" s="95"/>
      <c r="E424" s="95"/>
      <c r="F424" s="95"/>
      <c r="G424" s="95">
        <f>ROUND(E424*F424,2)</f>
        <v>0</v>
      </c>
      <c r="H424" s="97">
        <v>0</v>
      </c>
    </row>
    <row r="425" spans="1:8" s="69" customFormat="1" ht="15.95" hidden="1" customHeight="1">
      <c r="A425" s="90" t="s">
        <v>168</v>
      </c>
      <c r="B425" s="90" t="s">
        <v>168</v>
      </c>
      <c r="C425" s="91" t="s">
        <v>169</v>
      </c>
      <c r="D425" s="82"/>
      <c r="E425" s="82"/>
      <c r="F425" s="82"/>
      <c r="G425" s="82">
        <f>SUM(G426:G428)</f>
        <v>0</v>
      </c>
      <c r="H425" s="97"/>
    </row>
    <row r="426" spans="1:8" s="69" customFormat="1" ht="15.95" hidden="1" customHeight="1">
      <c r="A426" s="93"/>
      <c r="B426" s="93"/>
      <c r="C426" s="94"/>
      <c r="D426" s="95"/>
      <c r="E426" s="95"/>
      <c r="F426" s="95"/>
      <c r="G426" s="95">
        <f>ROUND(E426*F426,2)</f>
        <v>0</v>
      </c>
      <c r="H426" s="97">
        <v>0</v>
      </c>
    </row>
    <row r="427" spans="1:8" s="69" customFormat="1" ht="15.95" hidden="1" customHeight="1">
      <c r="A427" s="93"/>
      <c r="B427" s="93"/>
      <c r="C427" s="94"/>
      <c r="D427" s="95"/>
      <c r="E427" s="95"/>
      <c r="F427" s="95"/>
      <c r="G427" s="95">
        <f>ROUND(E427*F427,2)</f>
        <v>0</v>
      </c>
      <c r="H427" s="97">
        <v>0</v>
      </c>
    </row>
    <row r="428" spans="1:8" s="69" customFormat="1" ht="15.95" hidden="1" customHeight="1">
      <c r="A428" s="93"/>
      <c r="B428" s="93"/>
      <c r="C428" s="94"/>
      <c r="D428" s="95"/>
      <c r="E428" s="95"/>
      <c r="F428" s="95"/>
      <c r="G428" s="95">
        <f>ROUND(E428*F428,2)</f>
        <v>0</v>
      </c>
      <c r="H428" s="97">
        <v>0</v>
      </c>
    </row>
    <row r="429" spans="1:8" s="69" customFormat="1" ht="15.95" hidden="1" customHeight="1">
      <c r="A429" s="90" t="s">
        <v>170</v>
      </c>
      <c r="B429" s="90" t="s">
        <v>170</v>
      </c>
      <c r="C429" s="91" t="s">
        <v>171</v>
      </c>
      <c r="D429" s="82"/>
      <c r="E429" s="82"/>
      <c r="F429" s="82"/>
      <c r="G429" s="82">
        <f>SUM(G430:G432)</f>
        <v>0</v>
      </c>
      <c r="H429" s="97"/>
    </row>
    <row r="430" spans="1:8" s="69" customFormat="1" ht="15.95" hidden="1" customHeight="1">
      <c r="A430" s="93"/>
      <c r="B430" s="93"/>
      <c r="C430" s="94"/>
      <c r="D430" s="95"/>
      <c r="E430" s="95"/>
      <c r="F430" s="95"/>
      <c r="G430" s="95">
        <f>ROUND(E430*F430,2)</f>
        <v>0</v>
      </c>
      <c r="H430" s="97">
        <v>0</v>
      </c>
    </row>
    <row r="431" spans="1:8" s="69" customFormat="1" ht="15.95" hidden="1" customHeight="1">
      <c r="A431" s="93"/>
      <c r="B431" s="93"/>
      <c r="C431" s="94"/>
      <c r="D431" s="95"/>
      <c r="E431" s="95"/>
      <c r="F431" s="95"/>
      <c r="G431" s="95">
        <f>ROUND(E431*F431,2)</f>
        <v>0</v>
      </c>
      <c r="H431" s="97">
        <v>0</v>
      </c>
    </row>
    <row r="432" spans="1:8" s="69" customFormat="1" ht="15.95" hidden="1" customHeight="1">
      <c r="A432" s="93"/>
      <c r="B432" s="93"/>
      <c r="C432" s="94"/>
      <c r="D432" s="95"/>
      <c r="E432" s="95"/>
      <c r="F432" s="95"/>
      <c r="G432" s="95">
        <f>ROUND(E432*F432,2)</f>
        <v>0</v>
      </c>
      <c r="H432" s="97">
        <v>0</v>
      </c>
    </row>
    <row r="433" spans="1:8" s="69" customFormat="1" ht="15.95" hidden="1" customHeight="1">
      <c r="A433" s="90" t="s">
        <v>172</v>
      </c>
      <c r="B433" s="90" t="s">
        <v>172</v>
      </c>
      <c r="C433" s="91" t="s">
        <v>173</v>
      </c>
      <c r="D433" s="82"/>
      <c r="E433" s="82"/>
      <c r="F433" s="82"/>
      <c r="G433" s="82">
        <f>SUM(G434:G436)</f>
        <v>0</v>
      </c>
      <c r="H433" s="97"/>
    </row>
    <row r="434" spans="1:8" s="69" customFormat="1" ht="15.95" hidden="1" customHeight="1">
      <c r="A434" s="93"/>
      <c r="B434" s="93"/>
      <c r="C434" s="94"/>
      <c r="D434" s="95"/>
      <c r="E434" s="95"/>
      <c r="F434" s="95"/>
      <c r="G434" s="95">
        <f>ROUND(E434*F434,2)</f>
        <v>0</v>
      </c>
      <c r="H434" s="97">
        <v>0</v>
      </c>
    </row>
    <row r="435" spans="1:8" s="69" customFormat="1" ht="15.95" hidden="1" customHeight="1">
      <c r="A435" s="93"/>
      <c r="B435" s="93"/>
      <c r="C435" s="94"/>
      <c r="D435" s="95"/>
      <c r="E435" s="95"/>
      <c r="F435" s="95"/>
      <c r="G435" s="95">
        <f>ROUND(E435*F435,2)</f>
        <v>0</v>
      </c>
      <c r="H435" s="97">
        <v>0</v>
      </c>
    </row>
    <row r="436" spans="1:8" s="69" customFormat="1" ht="15.95" hidden="1" customHeight="1">
      <c r="A436" s="93"/>
      <c r="B436" s="93"/>
      <c r="C436" s="94"/>
      <c r="D436" s="95"/>
      <c r="E436" s="95"/>
      <c r="F436" s="95"/>
      <c r="G436" s="95">
        <f>ROUND(E436*F436,2)</f>
        <v>0</v>
      </c>
      <c r="H436" s="97">
        <v>0</v>
      </c>
    </row>
    <row r="437" spans="1:8" s="69" customFormat="1" ht="15.95" hidden="1" customHeight="1">
      <c r="A437" s="90" t="s">
        <v>174</v>
      </c>
      <c r="B437" s="90" t="s">
        <v>174</v>
      </c>
      <c r="C437" s="91" t="s">
        <v>175</v>
      </c>
      <c r="D437" s="82"/>
      <c r="E437" s="82"/>
      <c r="F437" s="82"/>
      <c r="G437" s="82">
        <f>SUM(G438:G440)</f>
        <v>0</v>
      </c>
      <c r="H437" s="97"/>
    </row>
    <row r="438" spans="1:8" s="69" customFormat="1" ht="15.95" hidden="1" customHeight="1">
      <c r="A438" s="93"/>
      <c r="B438" s="93"/>
      <c r="C438" s="94"/>
      <c r="D438" s="95"/>
      <c r="E438" s="95"/>
      <c r="F438" s="95"/>
      <c r="G438" s="95">
        <f>ROUND(E438*F438,2)</f>
        <v>0</v>
      </c>
      <c r="H438" s="97">
        <v>0</v>
      </c>
    </row>
    <row r="439" spans="1:8" s="69" customFormat="1" ht="15.95" hidden="1" customHeight="1">
      <c r="A439" s="93"/>
      <c r="B439" s="93"/>
      <c r="C439" s="94"/>
      <c r="D439" s="95"/>
      <c r="E439" s="95"/>
      <c r="F439" s="95"/>
      <c r="G439" s="95">
        <f>ROUND(E439*F439,2)</f>
        <v>0</v>
      </c>
      <c r="H439" s="97">
        <v>0</v>
      </c>
    </row>
    <row r="440" spans="1:8" s="69" customFormat="1" ht="15.95" hidden="1" customHeight="1">
      <c r="A440" s="93"/>
      <c r="B440" s="93"/>
      <c r="C440" s="94"/>
      <c r="D440" s="95"/>
      <c r="E440" s="95"/>
      <c r="F440" s="95"/>
      <c r="G440" s="95">
        <f>ROUND(E440*F440,2)</f>
        <v>0</v>
      </c>
      <c r="H440" s="97">
        <v>0</v>
      </c>
    </row>
    <row r="441" spans="1:8" s="69" customFormat="1" ht="15.95" hidden="1" customHeight="1">
      <c r="A441" s="90" t="s">
        <v>176</v>
      </c>
      <c r="B441" s="90" t="s">
        <v>176</v>
      </c>
      <c r="C441" s="91" t="s">
        <v>177</v>
      </c>
      <c r="D441" s="82"/>
      <c r="E441" s="82"/>
      <c r="F441" s="82"/>
      <c r="G441" s="82">
        <f>SUM(G442:G444)</f>
        <v>0</v>
      </c>
      <c r="H441" s="97"/>
    </row>
    <row r="442" spans="1:8" s="69" customFormat="1" ht="15.95" hidden="1" customHeight="1">
      <c r="A442" s="93"/>
      <c r="B442" s="93"/>
      <c r="C442" s="94"/>
      <c r="D442" s="95"/>
      <c r="E442" s="95"/>
      <c r="F442" s="95"/>
      <c r="G442" s="95">
        <f>ROUND(E442*F442,2)</f>
        <v>0</v>
      </c>
      <c r="H442" s="97">
        <v>0</v>
      </c>
    </row>
    <row r="443" spans="1:8" s="69" customFormat="1" ht="15.95" hidden="1" customHeight="1">
      <c r="A443" s="93"/>
      <c r="B443" s="93"/>
      <c r="C443" s="94"/>
      <c r="D443" s="95"/>
      <c r="E443" s="95"/>
      <c r="F443" s="95"/>
      <c r="G443" s="95">
        <f>ROUND(E443*F443,2)</f>
        <v>0</v>
      </c>
      <c r="H443" s="97">
        <v>0</v>
      </c>
    </row>
    <row r="444" spans="1:8" s="69" customFormat="1" ht="15.95" hidden="1" customHeight="1">
      <c r="A444" s="93"/>
      <c r="B444" s="93"/>
      <c r="C444" s="94"/>
      <c r="D444" s="95"/>
      <c r="E444" s="95"/>
      <c r="F444" s="95"/>
      <c r="G444" s="95">
        <f>ROUND(E444*F444,2)</f>
        <v>0</v>
      </c>
      <c r="H444" s="97">
        <v>0</v>
      </c>
    </row>
    <row r="445" spans="1:8" s="69" customFormat="1" ht="15.95" hidden="1" customHeight="1">
      <c r="A445" s="90" t="s">
        <v>178</v>
      </c>
      <c r="B445" s="90" t="s">
        <v>178</v>
      </c>
      <c r="C445" s="91" t="s">
        <v>179</v>
      </c>
      <c r="D445" s="82"/>
      <c r="E445" s="82"/>
      <c r="F445" s="82"/>
      <c r="G445" s="82">
        <f>SUM(G446:G448)</f>
        <v>0</v>
      </c>
      <c r="H445" s="97"/>
    </row>
    <row r="446" spans="1:8" s="69" customFormat="1" ht="15.95" hidden="1" customHeight="1">
      <c r="A446" s="93"/>
      <c r="B446" s="93"/>
      <c r="C446" s="94"/>
      <c r="D446" s="95"/>
      <c r="E446" s="95"/>
      <c r="F446" s="95"/>
      <c r="G446" s="95">
        <f>ROUND(E446*F446,2)</f>
        <v>0</v>
      </c>
      <c r="H446" s="97">
        <v>0</v>
      </c>
    </row>
    <row r="447" spans="1:8" s="69" customFormat="1" ht="15.95" hidden="1" customHeight="1">
      <c r="A447" s="93"/>
      <c r="B447" s="93"/>
      <c r="C447" s="94"/>
      <c r="D447" s="95"/>
      <c r="E447" s="95"/>
      <c r="F447" s="95"/>
      <c r="G447" s="95">
        <f>ROUND(E447*F447,2)</f>
        <v>0</v>
      </c>
      <c r="H447" s="97">
        <v>0</v>
      </c>
    </row>
    <row r="448" spans="1:8" s="69" customFormat="1" ht="15.95" hidden="1" customHeight="1">
      <c r="A448" s="93"/>
      <c r="B448" s="93"/>
      <c r="C448" s="94"/>
      <c r="D448" s="95"/>
      <c r="E448" s="95"/>
      <c r="F448" s="95"/>
      <c r="G448" s="95">
        <f>ROUND(E448*F448,2)</f>
        <v>0</v>
      </c>
      <c r="H448" s="97">
        <v>0</v>
      </c>
    </row>
    <row r="449" spans="1:8" s="69" customFormat="1" ht="15.95" hidden="1" customHeight="1">
      <c r="A449" s="90" t="s">
        <v>180</v>
      </c>
      <c r="B449" s="90" t="s">
        <v>180</v>
      </c>
      <c r="C449" s="91" t="s">
        <v>181</v>
      </c>
      <c r="D449" s="82"/>
      <c r="E449" s="82"/>
      <c r="F449" s="82"/>
      <c r="G449" s="82">
        <f>SUM(G450:G452)</f>
        <v>0</v>
      </c>
      <c r="H449" s="97"/>
    </row>
    <row r="450" spans="1:8" s="69" customFormat="1" ht="15.95" hidden="1" customHeight="1">
      <c r="A450" s="93"/>
      <c r="B450" s="93"/>
      <c r="C450" s="94"/>
      <c r="D450" s="95"/>
      <c r="E450" s="95"/>
      <c r="F450" s="95"/>
      <c r="G450" s="95">
        <f>ROUND(E450*F450,2)</f>
        <v>0</v>
      </c>
      <c r="H450" s="97">
        <v>0</v>
      </c>
    </row>
    <row r="451" spans="1:8" s="69" customFormat="1" ht="15.95" hidden="1" customHeight="1">
      <c r="A451" s="93"/>
      <c r="B451" s="93"/>
      <c r="C451" s="94"/>
      <c r="D451" s="95"/>
      <c r="E451" s="95"/>
      <c r="F451" s="95"/>
      <c r="G451" s="95">
        <f>ROUND(E451*F451,2)</f>
        <v>0</v>
      </c>
      <c r="H451" s="97">
        <v>0</v>
      </c>
    </row>
    <row r="452" spans="1:8" s="69" customFormat="1" ht="15.95" hidden="1" customHeight="1">
      <c r="A452" s="93"/>
      <c r="B452" s="93"/>
      <c r="C452" s="94"/>
      <c r="D452" s="95"/>
      <c r="E452" s="95"/>
      <c r="F452" s="95"/>
      <c r="G452" s="95">
        <f>ROUND(E452*F452,2)</f>
        <v>0</v>
      </c>
      <c r="H452" s="97">
        <v>0</v>
      </c>
    </row>
    <row r="453" spans="1:8" s="69" customFormat="1" ht="15.95" hidden="1" customHeight="1">
      <c r="A453" s="90" t="s">
        <v>182</v>
      </c>
      <c r="B453" s="90" t="s">
        <v>182</v>
      </c>
      <c r="C453" s="91" t="s">
        <v>183</v>
      </c>
      <c r="D453" s="82"/>
      <c r="E453" s="82"/>
      <c r="F453" s="82"/>
      <c r="G453" s="82">
        <f>SUM(G454:G456)</f>
        <v>0</v>
      </c>
      <c r="H453" s="97"/>
    </row>
    <row r="454" spans="1:8" s="69" customFormat="1" ht="15.95" hidden="1" customHeight="1">
      <c r="A454" s="93"/>
      <c r="B454" s="93"/>
      <c r="C454" s="94"/>
      <c r="D454" s="95"/>
      <c r="E454" s="95"/>
      <c r="F454" s="95"/>
      <c r="G454" s="95">
        <f>ROUND(E454*F454,2)</f>
        <v>0</v>
      </c>
      <c r="H454" s="97">
        <v>0</v>
      </c>
    </row>
    <row r="455" spans="1:8" s="69" customFormat="1" ht="15.95" hidden="1" customHeight="1">
      <c r="A455" s="93"/>
      <c r="B455" s="93"/>
      <c r="C455" s="94"/>
      <c r="D455" s="95"/>
      <c r="E455" s="95"/>
      <c r="F455" s="95"/>
      <c r="G455" s="95">
        <f>ROUND(E455*F455,2)</f>
        <v>0</v>
      </c>
      <c r="H455" s="97">
        <v>0</v>
      </c>
    </row>
    <row r="456" spans="1:8" s="69" customFormat="1" ht="15.95" hidden="1" customHeight="1">
      <c r="A456" s="93"/>
      <c r="B456" s="93"/>
      <c r="C456" s="94"/>
      <c r="D456" s="95"/>
      <c r="E456" s="95"/>
      <c r="F456" s="95"/>
      <c r="G456" s="95">
        <f>ROUND(E456*F456,2)</f>
        <v>0</v>
      </c>
      <c r="H456" s="97">
        <v>0</v>
      </c>
    </row>
    <row r="457" spans="1:8" s="69" customFormat="1" ht="15.95" hidden="1" customHeight="1">
      <c r="A457" s="90" t="s">
        <v>184</v>
      </c>
      <c r="B457" s="90" t="s">
        <v>184</v>
      </c>
      <c r="C457" s="91" t="s">
        <v>185</v>
      </c>
      <c r="D457" s="82"/>
      <c r="E457" s="82"/>
      <c r="F457" s="82"/>
      <c r="G457" s="82">
        <f>SUM(G458:G460)</f>
        <v>0</v>
      </c>
      <c r="H457" s="97"/>
    </row>
    <row r="458" spans="1:8" s="69" customFormat="1" ht="15.95" hidden="1" customHeight="1">
      <c r="A458" s="93"/>
      <c r="B458" s="93"/>
      <c r="C458" s="94"/>
      <c r="D458" s="95"/>
      <c r="E458" s="95"/>
      <c r="F458" s="95"/>
      <c r="G458" s="95">
        <f>ROUND(E458*F458,2)</f>
        <v>0</v>
      </c>
      <c r="H458" s="97">
        <v>0</v>
      </c>
    </row>
    <row r="459" spans="1:8" s="69" customFormat="1" ht="15.95" hidden="1" customHeight="1">
      <c r="A459" s="93"/>
      <c r="B459" s="93"/>
      <c r="C459" s="94"/>
      <c r="D459" s="95"/>
      <c r="E459" s="95"/>
      <c r="F459" s="95"/>
      <c r="G459" s="95">
        <f>ROUND(E459*F459,2)</f>
        <v>0</v>
      </c>
      <c r="H459" s="97">
        <v>0</v>
      </c>
    </row>
    <row r="460" spans="1:8" s="69" customFormat="1" ht="15.95" hidden="1" customHeight="1">
      <c r="A460" s="93"/>
      <c r="B460" s="93"/>
      <c r="C460" s="94"/>
      <c r="D460" s="95"/>
      <c r="E460" s="95"/>
      <c r="F460" s="95"/>
      <c r="G460" s="95">
        <f>ROUND(E460*F460,2)</f>
        <v>0</v>
      </c>
      <c r="H460" s="97">
        <v>0</v>
      </c>
    </row>
    <row r="461" spans="1:8" s="69" customFormat="1" ht="15.95" hidden="1" customHeight="1">
      <c r="A461" s="90" t="s">
        <v>186</v>
      </c>
      <c r="B461" s="90" t="s">
        <v>186</v>
      </c>
      <c r="C461" s="91" t="s">
        <v>187</v>
      </c>
      <c r="D461" s="82"/>
      <c r="E461" s="82"/>
      <c r="F461" s="82"/>
      <c r="G461" s="82">
        <f>SUM(G462:G464)</f>
        <v>0</v>
      </c>
      <c r="H461" s="97"/>
    </row>
    <row r="462" spans="1:8" s="69" customFormat="1" ht="15.95" hidden="1" customHeight="1">
      <c r="A462" s="93"/>
      <c r="B462" s="93"/>
      <c r="C462" s="94"/>
      <c r="D462" s="95"/>
      <c r="E462" s="95"/>
      <c r="F462" s="95"/>
      <c r="G462" s="95">
        <f>ROUND(E462*F462,2)</f>
        <v>0</v>
      </c>
      <c r="H462" s="97">
        <v>0</v>
      </c>
    </row>
    <row r="463" spans="1:8" s="69" customFormat="1" ht="15.95" hidden="1" customHeight="1">
      <c r="A463" s="93"/>
      <c r="B463" s="93"/>
      <c r="C463" s="94"/>
      <c r="D463" s="95"/>
      <c r="E463" s="95"/>
      <c r="F463" s="95"/>
      <c r="G463" s="95">
        <f>ROUND(E463*F463,2)</f>
        <v>0</v>
      </c>
      <c r="H463" s="97">
        <v>0</v>
      </c>
    </row>
    <row r="464" spans="1:8" s="69" customFormat="1" ht="15.95" hidden="1" customHeight="1">
      <c r="A464" s="93"/>
      <c r="B464" s="93"/>
      <c r="C464" s="94"/>
      <c r="D464" s="95"/>
      <c r="E464" s="95"/>
      <c r="F464" s="95"/>
      <c r="G464" s="95">
        <f>ROUND(E464*F464,2)</f>
        <v>0</v>
      </c>
      <c r="H464" s="97">
        <v>0</v>
      </c>
    </row>
    <row r="465" spans="1:8" s="69" customFormat="1" ht="15.95" hidden="1" customHeight="1">
      <c r="A465" s="90" t="s">
        <v>188</v>
      </c>
      <c r="B465" s="90" t="s">
        <v>188</v>
      </c>
      <c r="C465" s="91" t="s">
        <v>189</v>
      </c>
      <c r="D465" s="82"/>
      <c r="E465" s="82"/>
      <c r="F465" s="82"/>
      <c r="G465" s="82">
        <f>SUM(G466:G468)</f>
        <v>0</v>
      </c>
      <c r="H465" s="97"/>
    </row>
    <row r="466" spans="1:8" s="69" customFormat="1" ht="15.95" hidden="1" customHeight="1">
      <c r="A466" s="93"/>
      <c r="B466" s="93"/>
      <c r="C466" s="94"/>
      <c r="D466" s="95"/>
      <c r="E466" s="95"/>
      <c r="F466" s="95"/>
      <c r="G466" s="95">
        <f>ROUND(E466*F466,2)</f>
        <v>0</v>
      </c>
      <c r="H466" s="97">
        <v>0</v>
      </c>
    </row>
    <row r="467" spans="1:8" s="69" customFormat="1" ht="15.95" hidden="1" customHeight="1">
      <c r="A467" s="93"/>
      <c r="B467" s="93"/>
      <c r="C467" s="94"/>
      <c r="D467" s="95"/>
      <c r="E467" s="95"/>
      <c r="F467" s="95"/>
      <c r="G467" s="95">
        <f>ROUND(E467*F467,2)</f>
        <v>0</v>
      </c>
      <c r="H467" s="97">
        <v>0</v>
      </c>
    </row>
    <row r="468" spans="1:8" s="69" customFormat="1" ht="15.95" hidden="1" customHeight="1">
      <c r="A468" s="93"/>
      <c r="B468" s="93"/>
      <c r="C468" s="94"/>
      <c r="D468" s="95"/>
      <c r="E468" s="95"/>
      <c r="F468" s="95"/>
      <c r="G468" s="95">
        <f>ROUND(E468*F468,2)</f>
        <v>0</v>
      </c>
      <c r="H468" s="97">
        <v>0</v>
      </c>
    </row>
    <row r="469" spans="1:8" s="69" customFormat="1" ht="15.95" hidden="1" customHeight="1">
      <c r="A469" s="90" t="s">
        <v>190</v>
      </c>
      <c r="B469" s="90" t="s">
        <v>190</v>
      </c>
      <c r="C469" s="91" t="s">
        <v>191</v>
      </c>
      <c r="D469" s="82"/>
      <c r="E469" s="82"/>
      <c r="F469" s="82"/>
      <c r="G469" s="82">
        <f>SUM(G470:G472)</f>
        <v>0</v>
      </c>
      <c r="H469" s="97"/>
    </row>
    <row r="470" spans="1:8" s="69" customFormat="1" ht="15.95" hidden="1" customHeight="1">
      <c r="A470" s="93"/>
      <c r="B470" s="93"/>
      <c r="C470" s="94"/>
      <c r="D470" s="95"/>
      <c r="E470" s="95"/>
      <c r="F470" s="95"/>
      <c r="G470" s="95">
        <f>ROUND(E470*F470,2)</f>
        <v>0</v>
      </c>
      <c r="H470" s="96">
        <v>0</v>
      </c>
    </row>
    <row r="471" spans="1:8" s="69" customFormat="1" ht="15.95" hidden="1" customHeight="1">
      <c r="A471" s="93"/>
      <c r="B471" s="93"/>
      <c r="C471" s="94"/>
      <c r="D471" s="95"/>
      <c r="E471" s="95"/>
      <c r="F471" s="95"/>
      <c r="G471" s="95">
        <f>ROUND(E471*F471,2)</f>
        <v>0</v>
      </c>
      <c r="H471" s="96">
        <v>0</v>
      </c>
    </row>
    <row r="472" spans="1:8" s="69" customFormat="1" ht="15.95" hidden="1" customHeight="1">
      <c r="A472" s="93"/>
      <c r="B472" s="93"/>
      <c r="C472" s="94"/>
      <c r="D472" s="95"/>
      <c r="E472" s="95"/>
      <c r="F472" s="95"/>
      <c r="G472" s="95">
        <f>ROUND(E472*F472,2)</f>
        <v>0</v>
      </c>
      <c r="H472" s="96">
        <v>0</v>
      </c>
    </row>
    <row r="473" spans="1:8" s="69" customFormat="1" ht="15.95" hidden="1" customHeight="1">
      <c r="A473" s="90" t="s">
        <v>192</v>
      </c>
      <c r="B473" s="90" t="s">
        <v>192</v>
      </c>
      <c r="C473" s="91" t="s">
        <v>193</v>
      </c>
      <c r="D473" s="82"/>
      <c r="E473" s="82"/>
      <c r="F473" s="82"/>
      <c r="G473" s="82">
        <f>SUM(G474:G476)</f>
        <v>0</v>
      </c>
      <c r="H473" s="97"/>
    </row>
    <row r="474" spans="1:8" s="69" customFormat="1" ht="15.95" hidden="1" customHeight="1">
      <c r="A474" s="93"/>
      <c r="B474" s="93"/>
      <c r="C474" s="94"/>
      <c r="D474" s="95"/>
      <c r="E474" s="95"/>
      <c r="F474" s="95"/>
      <c r="G474" s="95">
        <f>ROUND(E474*F474,2)</f>
        <v>0</v>
      </c>
      <c r="H474" s="96">
        <v>0</v>
      </c>
    </row>
    <row r="475" spans="1:8" s="69" customFormat="1" ht="15.95" hidden="1" customHeight="1">
      <c r="A475" s="93"/>
      <c r="B475" s="93"/>
      <c r="C475" s="94"/>
      <c r="D475" s="95"/>
      <c r="E475" s="95"/>
      <c r="F475" s="95"/>
      <c r="G475" s="95">
        <f>ROUND(E475*F475,2)</f>
        <v>0</v>
      </c>
      <c r="H475" s="96">
        <v>0</v>
      </c>
    </row>
    <row r="476" spans="1:8" s="69" customFormat="1" ht="15.95" hidden="1" customHeight="1">
      <c r="A476" s="93"/>
      <c r="B476" s="93"/>
      <c r="C476" s="94"/>
      <c r="D476" s="95"/>
      <c r="E476" s="95"/>
      <c r="F476" s="95"/>
      <c r="G476" s="95">
        <f>ROUND(E476*F476,2)</f>
        <v>0</v>
      </c>
      <c r="H476" s="96">
        <v>0</v>
      </c>
    </row>
    <row r="477" spans="1:8" s="69" customFormat="1" ht="15.95" hidden="1" customHeight="1">
      <c r="A477" s="90" t="s">
        <v>194</v>
      </c>
      <c r="B477" s="90" t="s">
        <v>194</v>
      </c>
      <c r="C477" s="91" t="s">
        <v>195</v>
      </c>
      <c r="D477" s="82"/>
      <c r="E477" s="82"/>
      <c r="F477" s="82"/>
      <c r="G477" s="82">
        <f>SUM(G478:G480)</f>
        <v>0</v>
      </c>
      <c r="H477" s="97"/>
    </row>
    <row r="478" spans="1:8" s="69" customFormat="1" ht="15.95" hidden="1" customHeight="1">
      <c r="A478" s="93"/>
      <c r="B478" s="93"/>
      <c r="C478" s="94"/>
      <c r="D478" s="95"/>
      <c r="E478" s="95"/>
      <c r="F478" s="95"/>
      <c r="G478" s="95">
        <f>ROUND(E478*F478,2)</f>
        <v>0</v>
      </c>
      <c r="H478" s="96">
        <v>0</v>
      </c>
    </row>
    <row r="479" spans="1:8" s="69" customFormat="1" ht="15.95" hidden="1" customHeight="1">
      <c r="A479" s="93"/>
      <c r="B479" s="93"/>
      <c r="C479" s="94"/>
      <c r="D479" s="95"/>
      <c r="E479" s="95"/>
      <c r="F479" s="95"/>
      <c r="G479" s="95">
        <f>ROUND(E479*F479,2)</f>
        <v>0</v>
      </c>
      <c r="H479" s="96">
        <v>0</v>
      </c>
    </row>
    <row r="480" spans="1:8" s="69" customFormat="1" ht="15.95" hidden="1" customHeight="1">
      <c r="A480" s="93"/>
      <c r="B480" s="93"/>
      <c r="C480" s="94"/>
      <c r="D480" s="95"/>
      <c r="E480" s="95"/>
      <c r="F480" s="95"/>
      <c r="G480" s="95">
        <f>ROUND(E480*F480,2)</f>
        <v>0</v>
      </c>
      <c r="H480" s="96">
        <v>0</v>
      </c>
    </row>
    <row r="481" spans="1:8" s="69" customFormat="1" ht="15.95" hidden="1" customHeight="1">
      <c r="A481" s="90" t="s">
        <v>196</v>
      </c>
      <c r="B481" s="90" t="s">
        <v>196</v>
      </c>
      <c r="C481" s="91" t="s">
        <v>197</v>
      </c>
      <c r="D481" s="82"/>
      <c r="E481" s="82"/>
      <c r="F481" s="82"/>
      <c r="G481" s="82">
        <f>SUM(G482:G484)</f>
        <v>0</v>
      </c>
      <c r="H481" s="97"/>
    </row>
    <row r="482" spans="1:8" s="69" customFormat="1" ht="15.95" hidden="1" customHeight="1">
      <c r="A482" s="93"/>
      <c r="B482" s="93"/>
      <c r="C482" s="94"/>
      <c r="D482" s="95"/>
      <c r="E482" s="95"/>
      <c r="F482" s="95"/>
      <c r="G482" s="95">
        <f>ROUND(E482*F482,2)</f>
        <v>0</v>
      </c>
      <c r="H482" s="96">
        <v>0</v>
      </c>
    </row>
    <row r="483" spans="1:8" s="69" customFormat="1" ht="15.95" hidden="1" customHeight="1">
      <c r="A483" s="93"/>
      <c r="B483" s="93"/>
      <c r="C483" s="94"/>
      <c r="D483" s="95"/>
      <c r="E483" s="95"/>
      <c r="F483" s="95"/>
      <c r="G483" s="95">
        <f>ROUND(E483*F483,2)</f>
        <v>0</v>
      </c>
      <c r="H483" s="96">
        <v>0</v>
      </c>
    </row>
    <row r="484" spans="1:8" s="69" customFormat="1" ht="15.95" hidden="1" customHeight="1">
      <c r="A484" s="93"/>
      <c r="B484" s="93"/>
      <c r="C484" s="94"/>
      <c r="D484" s="95"/>
      <c r="E484" s="95"/>
      <c r="F484" s="95"/>
      <c r="G484" s="95">
        <f>ROUND(E484*F484,2)</f>
        <v>0</v>
      </c>
      <c r="H484" s="96">
        <v>0</v>
      </c>
    </row>
    <row r="485" spans="1:8" s="69" customFormat="1" ht="15.95" hidden="1" customHeight="1">
      <c r="A485" s="90" t="s">
        <v>198</v>
      </c>
      <c r="B485" s="90" t="s">
        <v>198</v>
      </c>
      <c r="C485" s="91" t="s">
        <v>199</v>
      </c>
      <c r="D485" s="82"/>
      <c r="E485" s="82"/>
      <c r="F485" s="82"/>
      <c r="G485" s="82">
        <f>SUM(G486:G488)</f>
        <v>0</v>
      </c>
      <c r="H485" s="97"/>
    </row>
    <row r="486" spans="1:8" s="69" customFormat="1" ht="15.95" hidden="1" customHeight="1">
      <c r="A486" s="93"/>
      <c r="B486" s="93"/>
      <c r="C486" s="94"/>
      <c r="D486" s="95"/>
      <c r="E486" s="95"/>
      <c r="F486" s="95"/>
      <c r="G486" s="95">
        <f>ROUND(E486*F486,2)</f>
        <v>0</v>
      </c>
      <c r="H486" s="96">
        <v>0</v>
      </c>
    </row>
    <row r="487" spans="1:8" s="69" customFormat="1" ht="15.95" hidden="1" customHeight="1">
      <c r="A487" s="93"/>
      <c r="B487" s="93"/>
      <c r="C487" s="94"/>
      <c r="D487" s="95"/>
      <c r="E487" s="95"/>
      <c r="F487" s="95"/>
      <c r="G487" s="95">
        <f>ROUND(E487*F487,2)</f>
        <v>0</v>
      </c>
      <c r="H487" s="96">
        <v>0</v>
      </c>
    </row>
    <row r="488" spans="1:8" s="69" customFormat="1" ht="15.95" hidden="1" customHeight="1">
      <c r="A488" s="93"/>
      <c r="B488" s="93"/>
      <c r="C488" s="94"/>
      <c r="D488" s="95"/>
      <c r="E488" s="95"/>
      <c r="F488" s="95"/>
      <c r="G488" s="95">
        <f>ROUND(E488*F488,2)</f>
        <v>0</v>
      </c>
      <c r="H488" s="96">
        <v>0</v>
      </c>
    </row>
    <row r="489" spans="1:8" s="69" customFormat="1" ht="15.95" hidden="1" customHeight="1">
      <c r="A489" s="83"/>
      <c r="B489" s="83"/>
      <c r="C489" s="84" t="s">
        <v>200</v>
      </c>
      <c r="D489" s="85"/>
      <c r="E489" s="85"/>
      <c r="F489" s="85"/>
      <c r="G489" s="82"/>
      <c r="H489" s="97"/>
    </row>
    <row r="490" spans="1:8" s="69" customFormat="1" ht="15.95" hidden="1" customHeight="1">
      <c r="A490" s="87" t="s">
        <v>201</v>
      </c>
      <c r="B490" s="87" t="s">
        <v>201</v>
      </c>
      <c r="C490" s="88" t="s">
        <v>202</v>
      </c>
      <c r="D490" s="89"/>
      <c r="E490" s="89"/>
      <c r="F490" s="89"/>
      <c r="G490" s="89">
        <f>SG_06_01+SG_06_02+SG_06_03+SG_06_04+SG_06_05+SG_06_06+SG_06_07+SG_06_08+SG_06_09+SG_06_10+SG_06_11+SG_06_12+SG_06_13+SG_06_14+SG_06_15+SG_06_16+SG_06_17+SG_06_18+SG_06_19+SG_06_20</f>
        <v>0</v>
      </c>
      <c r="H490" s="97"/>
    </row>
    <row r="491" spans="1:8" s="69" customFormat="1" ht="15.95" hidden="1" customHeight="1">
      <c r="A491" s="90" t="s">
        <v>203</v>
      </c>
      <c r="B491" s="90" t="s">
        <v>203</v>
      </c>
      <c r="C491" s="91" t="s">
        <v>204</v>
      </c>
      <c r="D491" s="82"/>
      <c r="E491" s="82"/>
      <c r="F491" s="82"/>
      <c r="G491" s="82">
        <f>SUM(G492:G494)</f>
        <v>0</v>
      </c>
      <c r="H491" s="97"/>
    </row>
    <row r="492" spans="1:8" s="69" customFormat="1" ht="15.95" hidden="1" customHeight="1">
      <c r="A492" s="93"/>
      <c r="B492" s="93"/>
      <c r="C492" s="94"/>
      <c r="D492" s="95"/>
      <c r="E492" s="95"/>
      <c r="F492" s="95"/>
      <c r="G492" s="95">
        <f>ROUND(E492*F492,2)</f>
        <v>0</v>
      </c>
      <c r="H492" s="97">
        <v>0</v>
      </c>
    </row>
    <row r="493" spans="1:8" s="69" customFormat="1" ht="15.95" hidden="1" customHeight="1">
      <c r="A493" s="93"/>
      <c r="B493" s="93"/>
      <c r="C493" s="94"/>
      <c r="D493" s="95"/>
      <c r="E493" s="95"/>
      <c r="F493" s="95"/>
      <c r="G493" s="95">
        <f>ROUND(E493*F493,2)</f>
        <v>0</v>
      </c>
      <c r="H493" s="97">
        <v>0</v>
      </c>
    </row>
    <row r="494" spans="1:8" s="69" customFormat="1" ht="15.95" hidden="1" customHeight="1">
      <c r="A494" s="93"/>
      <c r="B494" s="93"/>
      <c r="C494" s="94"/>
      <c r="D494" s="95"/>
      <c r="E494" s="95"/>
      <c r="F494" s="95"/>
      <c r="G494" s="95">
        <f>ROUND(E494*F494,2)</f>
        <v>0</v>
      </c>
      <c r="H494" s="97">
        <v>0</v>
      </c>
    </row>
    <row r="495" spans="1:8" s="69" customFormat="1" ht="15.95" hidden="1" customHeight="1">
      <c r="A495" s="90" t="s">
        <v>205</v>
      </c>
      <c r="B495" s="90" t="s">
        <v>205</v>
      </c>
      <c r="C495" s="91" t="s">
        <v>206</v>
      </c>
      <c r="D495" s="82"/>
      <c r="E495" s="82"/>
      <c r="F495" s="82"/>
      <c r="G495" s="82">
        <f>SUM(G496:G498)</f>
        <v>0</v>
      </c>
      <c r="H495" s="97"/>
    </row>
    <row r="496" spans="1:8" s="69" customFormat="1" ht="15.95" hidden="1" customHeight="1">
      <c r="A496" s="93"/>
      <c r="B496" s="93"/>
      <c r="C496" s="94"/>
      <c r="D496" s="95"/>
      <c r="E496" s="95"/>
      <c r="F496" s="95"/>
      <c r="G496" s="95">
        <f>ROUND(E496*F496,2)</f>
        <v>0</v>
      </c>
      <c r="H496" s="97">
        <v>0</v>
      </c>
    </row>
    <row r="497" spans="1:8" s="69" customFormat="1" ht="15.95" hidden="1" customHeight="1">
      <c r="A497" s="93"/>
      <c r="B497" s="93"/>
      <c r="C497" s="94"/>
      <c r="D497" s="95"/>
      <c r="E497" s="95"/>
      <c r="F497" s="95"/>
      <c r="G497" s="95">
        <f>ROUND(E497*F497,2)</f>
        <v>0</v>
      </c>
      <c r="H497" s="97">
        <v>0</v>
      </c>
    </row>
    <row r="498" spans="1:8" s="69" customFormat="1" ht="15.95" hidden="1" customHeight="1">
      <c r="A498" s="93"/>
      <c r="B498" s="93"/>
      <c r="C498" s="94"/>
      <c r="D498" s="95"/>
      <c r="E498" s="95"/>
      <c r="F498" s="95"/>
      <c r="G498" s="95">
        <f>ROUND(E498*F498,2)</f>
        <v>0</v>
      </c>
      <c r="H498" s="97">
        <v>0</v>
      </c>
    </row>
    <row r="499" spans="1:8" s="69" customFormat="1" ht="15.95" hidden="1" customHeight="1">
      <c r="A499" s="90" t="s">
        <v>207</v>
      </c>
      <c r="B499" s="90" t="s">
        <v>207</v>
      </c>
      <c r="C499" s="91" t="s">
        <v>208</v>
      </c>
      <c r="D499" s="82"/>
      <c r="E499" s="82"/>
      <c r="F499" s="82"/>
      <c r="G499" s="82">
        <f>SUM(G500:G502)</f>
        <v>0</v>
      </c>
      <c r="H499" s="97"/>
    </row>
    <row r="500" spans="1:8" s="69" customFormat="1" ht="15.95" hidden="1" customHeight="1">
      <c r="A500" s="93"/>
      <c r="B500" s="93"/>
      <c r="C500" s="94"/>
      <c r="D500" s="95"/>
      <c r="E500" s="95"/>
      <c r="F500" s="95"/>
      <c r="G500" s="95">
        <f>ROUND(E500*F500,2)</f>
        <v>0</v>
      </c>
      <c r="H500" s="97">
        <v>0</v>
      </c>
    </row>
    <row r="501" spans="1:8" s="69" customFormat="1" ht="15.95" hidden="1" customHeight="1">
      <c r="A501" s="93"/>
      <c r="B501" s="93"/>
      <c r="C501" s="94"/>
      <c r="D501" s="95"/>
      <c r="E501" s="95"/>
      <c r="F501" s="95"/>
      <c r="G501" s="95">
        <f>ROUND(E501*F501,2)</f>
        <v>0</v>
      </c>
      <c r="H501" s="97">
        <v>0</v>
      </c>
    </row>
    <row r="502" spans="1:8" s="69" customFormat="1" ht="15.95" hidden="1" customHeight="1">
      <c r="A502" s="93"/>
      <c r="B502" s="93"/>
      <c r="C502" s="94"/>
      <c r="D502" s="95"/>
      <c r="E502" s="95"/>
      <c r="F502" s="95"/>
      <c r="G502" s="95">
        <f>ROUND(E502*F502,2)</f>
        <v>0</v>
      </c>
      <c r="H502" s="97">
        <v>0</v>
      </c>
    </row>
    <row r="503" spans="1:8" s="69" customFormat="1" ht="15.95" hidden="1" customHeight="1">
      <c r="A503" s="90" t="s">
        <v>209</v>
      </c>
      <c r="B503" s="90" t="s">
        <v>209</v>
      </c>
      <c r="C503" s="91" t="s">
        <v>210</v>
      </c>
      <c r="D503" s="82"/>
      <c r="E503" s="82"/>
      <c r="F503" s="82"/>
      <c r="G503" s="82">
        <f>SUM(G504:G506)</f>
        <v>0</v>
      </c>
      <c r="H503" s="97"/>
    </row>
    <row r="504" spans="1:8" s="69" customFormat="1" ht="15.95" hidden="1" customHeight="1">
      <c r="A504" s="93"/>
      <c r="B504" s="93"/>
      <c r="C504" s="94"/>
      <c r="D504" s="95"/>
      <c r="E504" s="95"/>
      <c r="F504" s="95"/>
      <c r="G504" s="95">
        <f>ROUND(E504*F504,2)</f>
        <v>0</v>
      </c>
      <c r="H504" s="97">
        <v>0</v>
      </c>
    </row>
    <row r="505" spans="1:8" s="69" customFormat="1" ht="15.95" hidden="1" customHeight="1">
      <c r="A505" s="93"/>
      <c r="B505" s="93"/>
      <c r="C505" s="94"/>
      <c r="D505" s="95"/>
      <c r="E505" s="95"/>
      <c r="F505" s="95"/>
      <c r="G505" s="95">
        <f>ROUND(E505*F505,2)</f>
        <v>0</v>
      </c>
      <c r="H505" s="97">
        <v>0</v>
      </c>
    </row>
    <row r="506" spans="1:8" s="69" customFormat="1" ht="15.95" hidden="1" customHeight="1">
      <c r="A506" s="93"/>
      <c r="B506" s="93"/>
      <c r="C506" s="94"/>
      <c r="D506" s="95"/>
      <c r="E506" s="95"/>
      <c r="F506" s="95"/>
      <c r="G506" s="95">
        <f>ROUND(E506*F506,2)</f>
        <v>0</v>
      </c>
      <c r="H506" s="97">
        <v>0</v>
      </c>
    </row>
    <row r="507" spans="1:8" s="69" customFormat="1" ht="15.95" hidden="1" customHeight="1">
      <c r="A507" s="90" t="s">
        <v>211</v>
      </c>
      <c r="B507" s="90" t="s">
        <v>211</v>
      </c>
      <c r="C507" s="91" t="s">
        <v>212</v>
      </c>
      <c r="D507" s="82"/>
      <c r="E507" s="82"/>
      <c r="F507" s="82"/>
      <c r="G507" s="82">
        <f>SUM(G508:G510)</f>
        <v>0</v>
      </c>
      <c r="H507" s="97"/>
    </row>
    <row r="508" spans="1:8" s="69" customFormat="1" ht="15.95" hidden="1" customHeight="1">
      <c r="A508" s="93"/>
      <c r="B508" s="93"/>
      <c r="C508" s="94"/>
      <c r="D508" s="95"/>
      <c r="E508" s="95"/>
      <c r="F508" s="95"/>
      <c r="G508" s="95">
        <f>ROUND(E508*F508,2)</f>
        <v>0</v>
      </c>
      <c r="H508" s="97">
        <v>0</v>
      </c>
    </row>
    <row r="509" spans="1:8" s="69" customFormat="1" ht="15.95" hidden="1" customHeight="1">
      <c r="A509" s="93"/>
      <c r="B509" s="93"/>
      <c r="C509" s="94"/>
      <c r="D509" s="95"/>
      <c r="E509" s="95"/>
      <c r="F509" s="95"/>
      <c r="G509" s="95">
        <f>ROUND(E509*F509,2)</f>
        <v>0</v>
      </c>
      <c r="H509" s="97">
        <v>0</v>
      </c>
    </row>
    <row r="510" spans="1:8" s="69" customFormat="1" ht="15.95" hidden="1" customHeight="1">
      <c r="A510" s="93"/>
      <c r="B510" s="93"/>
      <c r="C510" s="94"/>
      <c r="D510" s="95"/>
      <c r="E510" s="95"/>
      <c r="F510" s="95"/>
      <c r="G510" s="95">
        <f>ROUND(E510*F510,2)</f>
        <v>0</v>
      </c>
      <c r="H510" s="97">
        <v>0</v>
      </c>
    </row>
    <row r="511" spans="1:8" s="69" customFormat="1" ht="15.95" hidden="1" customHeight="1">
      <c r="A511" s="90" t="s">
        <v>213</v>
      </c>
      <c r="B511" s="90" t="s">
        <v>213</v>
      </c>
      <c r="C511" s="91" t="s">
        <v>214</v>
      </c>
      <c r="D511" s="82"/>
      <c r="E511" s="82"/>
      <c r="F511" s="82"/>
      <c r="G511" s="82">
        <f>SUM(G512:G514)</f>
        <v>0</v>
      </c>
      <c r="H511" s="97"/>
    </row>
    <row r="512" spans="1:8" s="69" customFormat="1" ht="15.95" hidden="1" customHeight="1">
      <c r="A512" s="93"/>
      <c r="B512" s="93"/>
      <c r="C512" s="94"/>
      <c r="D512" s="95"/>
      <c r="E512" s="95"/>
      <c r="F512" s="95"/>
      <c r="G512" s="95">
        <f>ROUND(E512*F512,2)</f>
        <v>0</v>
      </c>
      <c r="H512" s="97">
        <v>0</v>
      </c>
    </row>
    <row r="513" spans="1:8" s="69" customFormat="1" ht="15.95" hidden="1" customHeight="1">
      <c r="A513" s="93"/>
      <c r="B513" s="93"/>
      <c r="C513" s="94"/>
      <c r="D513" s="95"/>
      <c r="E513" s="95"/>
      <c r="F513" s="95"/>
      <c r="G513" s="95">
        <f>ROUND(E513*F513,2)</f>
        <v>0</v>
      </c>
      <c r="H513" s="97">
        <v>0</v>
      </c>
    </row>
    <row r="514" spans="1:8" s="69" customFormat="1" ht="15.95" hidden="1" customHeight="1">
      <c r="A514" s="93"/>
      <c r="B514" s="93"/>
      <c r="C514" s="94"/>
      <c r="D514" s="95"/>
      <c r="E514" s="95"/>
      <c r="F514" s="95"/>
      <c r="G514" s="95">
        <f>ROUND(E514*F514,2)</f>
        <v>0</v>
      </c>
      <c r="H514" s="97">
        <v>0</v>
      </c>
    </row>
    <row r="515" spans="1:8" s="69" customFormat="1" ht="15.95" hidden="1" customHeight="1">
      <c r="A515" s="90" t="s">
        <v>215</v>
      </c>
      <c r="B515" s="90" t="s">
        <v>215</v>
      </c>
      <c r="C515" s="91" t="s">
        <v>216</v>
      </c>
      <c r="D515" s="82"/>
      <c r="E515" s="82"/>
      <c r="F515" s="82"/>
      <c r="G515" s="82">
        <f>SUM(G516:G518)</f>
        <v>0</v>
      </c>
      <c r="H515" s="97"/>
    </row>
    <row r="516" spans="1:8" s="69" customFormat="1" ht="15.95" hidden="1" customHeight="1">
      <c r="A516" s="93"/>
      <c r="B516" s="93"/>
      <c r="C516" s="94"/>
      <c r="D516" s="95"/>
      <c r="E516" s="95"/>
      <c r="F516" s="95"/>
      <c r="G516" s="95">
        <f>ROUND(E516*F516,2)</f>
        <v>0</v>
      </c>
      <c r="H516" s="97">
        <v>0</v>
      </c>
    </row>
    <row r="517" spans="1:8" s="69" customFormat="1" ht="15.95" hidden="1" customHeight="1">
      <c r="A517" s="93"/>
      <c r="B517" s="93"/>
      <c r="C517" s="94"/>
      <c r="D517" s="95"/>
      <c r="E517" s="95"/>
      <c r="F517" s="95"/>
      <c r="G517" s="95">
        <f>ROUND(E517*F517,2)</f>
        <v>0</v>
      </c>
      <c r="H517" s="97">
        <v>0</v>
      </c>
    </row>
    <row r="518" spans="1:8" s="69" customFormat="1" ht="15.95" hidden="1" customHeight="1">
      <c r="A518" s="93"/>
      <c r="B518" s="93"/>
      <c r="C518" s="94"/>
      <c r="D518" s="95"/>
      <c r="E518" s="95"/>
      <c r="F518" s="95"/>
      <c r="G518" s="95">
        <f>ROUND(E518*F518,2)</f>
        <v>0</v>
      </c>
      <c r="H518" s="97">
        <v>0</v>
      </c>
    </row>
    <row r="519" spans="1:8" s="69" customFormat="1" ht="15.95" hidden="1" customHeight="1">
      <c r="A519" s="90" t="s">
        <v>217</v>
      </c>
      <c r="B519" s="90" t="s">
        <v>217</v>
      </c>
      <c r="C519" s="91" t="s">
        <v>218</v>
      </c>
      <c r="D519" s="82"/>
      <c r="E519" s="82"/>
      <c r="F519" s="82"/>
      <c r="G519" s="82">
        <f>SUM(G520:G522)</f>
        <v>0</v>
      </c>
      <c r="H519" s="97"/>
    </row>
    <row r="520" spans="1:8" s="69" customFormat="1" ht="15.95" hidden="1" customHeight="1">
      <c r="A520" s="93"/>
      <c r="B520" s="93"/>
      <c r="C520" s="94"/>
      <c r="D520" s="95"/>
      <c r="E520" s="95"/>
      <c r="F520" s="95"/>
      <c r="G520" s="95">
        <f>ROUND(E520*F520,2)</f>
        <v>0</v>
      </c>
      <c r="H520" s="97">
        <v>0</v>
      </c>
    </row>
    <row r="521" spans="1:8" s="69" customFormat="1" ht="15.95" hidden="1" customHeight="1">
      <c r="A521" s="93"/>
      <c r="B521" s="93"/>
      <c r="C521" s="94"/>
      <c r="D521" s="95"/>
      <c r="E521" s="95"/>
      <c r="F521" s="95"/>
      <c r="G521" s="95">
        <f>ROUND(E521*F521,2)</f>
        <v>0</v>
      </c>
      <c r="H521" s="97">
        <v>0</v>
      </c>
    </row>
    <row r="522" spans="1:8" s="69" customFormat="1" ht="15.95" hidden="1" customHeight="1">
      <c r="A522" s="93"/>
      <c r="B522" s="93"/>
      <c r="C522" s="94"/>
      <c r="D522" s="95"/>
      <c r="E522" s="95"/>
      <c r="F522" s="95"/>
      <c r="G522" s="95">
        <f>ROUND(E522*F522,2)</f>
        <v>0</v>
      </c>
      <c r="H522" s="97">
        <v>0</v>
      </c>
    </row>
    <row r="523" spans="1:8" s="69" customFormat="1" ht="15.95" hidden="1" customHeight="1">
      <c r="A523" s="90" t="s">
        <v>219</v>
      </c>
      <c r="B523" s="90" t="s">
        <v>219</v>
      </c>
      <c r="C523" s="91" t="s">
        <v>220</v>
      </c>
      <c r="D523" s="82"/>
      <c r="E523" s="82"/>
      <c r="F523" s="82"/>
      <c r="G523" s="82">
        <f>SUM(G524:G526)</f>
        <v>0</v>
      </c>
      <c r="H523" s="97"/>
    </row>
    <row r="524" spans="1:8" s="69" customFormat="1" ht="15.95" hidden="1" customHeight="1">
      <c r="A524" s="93"/>
      <c r="B524" s="93"/>
      <c r="C524" s="94"/>
      <c r="D524" s="95"/>
      <c r="E524" s="95"/>
      <c r="F524" s="95"/>
      <c r="G524" s="95">
        <f>ROUND(E524*F524,2)</f>
        <v>0</v>
      </c>
      <c r="H524" s="97">
        <v>0</v>
      </c>
    </row>
    <row r="525" spans="1:8" s="69" customFormat="1" ht="15.95" hidden="1" customHeight="1">
      <c r="A525" s="93"/>
      <c r="B525" s="93"/>
      <c r="C525" s="94"/>
      <c r="D525" s="95"/>
      <c r="E525" s="95"/>
      <c r="F525" s="95"/>
      <c r="G525" s="95">
        <f>ROUND(E525*F525,2)</f>
        <v>0</v>
      </c>
      <c r="H525" s="97">
        <v>0</v>
      </c>
    </row>
    <row r="526" spans="1:8" s="69" customFormat="1" ht="15.95" hidden="1" customHeight="1">
      <c r="A526" s="93"/>
      <c r="B526" s="93"/>
      <c r="C526" s="94"/>
      <c r="D526" s="95"/>
      <c r="E526" s="95"/>
      <c r="F526" s="95"/>
      <c r="G526" s="95">
        <f>ROUND(E526*F526,2)</f>
        <v>0</v>
      </c>
      <c r="H526" s="97">
        <v>0</v>
      </c>
    </row>
    <row r="527" spans="1:8" s="69" customFormat="1" ht="15.95" hidden="1" customHeight="1">
      <c r="A527" s="90" t="s">
        <v>221</v>
      </c>
      <c r="B527" s="90" t="s">
        <v>221</v>
      </c>
      <c r="C527" s="91" t="s">
        <v>222</v>
      </c>
      <c r="D527" s="82"/>
      <c r="E527" s="82"/>
      <c r="F527" s="82"/>
      <c r="G527" s="82">
        <f>SUM(G528:G530)</f>
        <v>0</v>
      </c>
      <c r="H527" s="97"/>
    </row>
    <row r="528" spans="1:8" s="69" customFormat="1" ht="15.95" hidden="1" customHeight="1">
      <c r="A528" s="93"/>
      <c r="B528" s="93"/>
      <c r="C528" s="94"/>
      <c r="D528" s="95"/>
      <c r="E528" s="95"/>
      <c r="F528" s="95"/>
      <c r="G528" s="95">
        <f>ROUND(E528*F528,2)</f>
        <v>0</v>
      </c>
      <c r="H528" s="97">
        <v>0</v>
      </c>
    </row>
    <row r="529" spans="1:8" s="69" customFormat="1" ht="15.95" hidden="1" customHeight="1">
      <c r="A529" s="93"/>
      <c r="B529" s="93"/>
      <c r="C529" s="94"/>
      <c r="D529" s="95"/>
      <c r="E529" s="95"/>
      <c r="F529" s="95"/>
      <c r="G529" s="95">
        <f>ROUND(E529*F529,2)</f>
        <v>0</v>
      </c>
      <c r="H529" s="97">
        <v>0</v>
      </c>
    </row>
    <row r="530" spans="1:8" s="69" customFormat="1" ht="15.95" hidden="1" customHeight="1">
      <c r="A530" s="93"/>
      <c r="B530" s="93"/>
      <c r="C530" s="94"/>
      <c r="D530" s="95"/>
      <c r="E530" s="95"/>
      <c r="F530" s="95"/>
      <c r="G530" s="95">
        <f>ROUND(E530*F530,2)</f>
        <v>0</v>
      </c>
      <c r="H530" s="97">
        <v>0</v>
      </c>
    </row>
    <row r="531" spans="1:8" s="69" customFormat="1" ht="15.95" hidden="1" customHeight="1">
      <c r="A531" s="90" t="s">
        <v>223</v>
      </c>
      <c r="B531" s="90" t="s">
        <v>223</v>
      </c>
      <c r="C531" s="91" t="s">
        <v>224</v>
      </c>
      <c r="D531" s="82"/>
      <c r="E531" s="82"/>
      <c r="F531" s="82"/>
      <c r="G531" s="82">
        <f>SUM(G532:G534)</f>
        <v>0</v>
      </c>
      <c r="H531" s="97"/>
    </row>
    <row r="532" spans="1:8" s="69" customFormat="1" ht="15.95" hidden="1" customHeight="1">
      <c r="A532" s="93"/>
      <c r="B532" s="93"/>
      <c r="C532" s="94"/>
      <c r="D532" s="95"/>
      <c r="E532" s="95"/>
      <c r="F532" s="95"/>
      <c r="G532" s="95">
        <f>ROUND(E532*F532,2)</f>
        <v>0</v>
      </c>
      <c r="H532" s="97">
        <v>0</v>
      </c>
    </row>
    <row r="533" spans="1:8" s="69" customFormat="1" ht="15.95" hidden="1" customHeight="1">
      <c r="A533" s="93"/>
      <c r="B533" s="93"/>
      <c r="C533" s="94"/>
      <c r="D533" s="95"/>
      <c r="E533" s="95"/>
      <c r="F533" s="95"/>
      <c r="G533" s="95">
        <f>ROUND(E533*F533,2)</f>
        <v>0</v>
      </c>
      <c r="H533" s="97">
        <v>0</v>
      </c>
    </row>
    <row r="534" spans="1:8" s="69" customFormat="1" ht="15.95" hidden="1" customHeight="1">
      <c r="A534" s="93"/>
      <c r="B534" s="93"/>
      <c r="C534" s="94"/>
      <c r="D534" s="95"/>
      <c r="E534" s="95"/>
      <c r="F534" s="95"/>
      <c r="G534" s="95">
        <f>ROUND(E534*F534,2)</f>
        <v>0</v>
      </c>
      <c r="H534" s="97">
        <v>0</v>
      </c>
    </row>
    <row r="535" spans="1:8" s="69" customFormat="1" ht="15.95" hidden="1" customHeight="1">
      <c r="A535" s="90" t="s">
        <v>225</v>
      </c>
      <c r="B535" s="90" t="s">
        <v>225</v>
      </c>
      <c r="C535" s="91" t="s">
        <v>226</v>
      </c>
      <c r="D535" s="82"/>
      <c r="E535" s="82"/>
      <c r="F535" s="82"/>
      <c r="G535" s="82">
        <f>SUM(G536:G538)</f>
        <v>0</v>
      </c>
      <c r="H535" s="97"/>
    </row>
    <row r="536" spans="1:8" s="69" customFormat="1" ht="15.95" hidden="1" customHeight="1">
      <c r="A536" s="93"/>
      <c r="B536" s="93"/>
      <c r="C536" s="94"/>
      <c r="D536" s="95"/>
      <c r="E536" s="95"/>
      <c r="F536" s="95"/>
      <c r="G536" s="95">
        <f>ROUND(E536*F536,2)</f>
        <v>0</v>
      </c>
      <c r="H536" s="97">
        <v>0</v>
      </c>
    </row>
    <row r="537" spans="1:8" s="69" customFormat="1" ht="15.95" hidden="1" customHeight="1">
      <c r="A537" s="93"/>
      <c r="B537" s="93"/>
      <c r="C537" s="94"/>
      <c r="D537" s="95"/>
      <c r="E537" s="95"/>
      <c r="F537" s="95"/>
      <c r="G537" s="95">
        <f>ROUND(E537*F537,2)</f>
        <v>0</v>
      </c>
      <c r="H537" s="97">
        <v>0</v>
      </c>
    </row>
    <row r="538" spans="1:8" s="69" customFormat="1" ht="15.95" hidden="1" customHeight="1">
      <c r="A538" s="93"/>
      <c r="B538" s="93"/>
      <c r="C538" s="94"/>
      <c r="D538" s="95"/>
      <c r="E538" s="95"/>
      <c r="F538" s="95"/>
      <c r="G538" s="95">
        <f>ROUND(E538*F538,2)</f>
        <v>0</v>
      </c>
      <c r="H538" s="97">
        <v>0</v>
      </c>
    </row>
    <row r="539" spans="1:8" s="69" customFormat="1" ht="15.95" hidden="1" customHeight="1">
      <c r="A539" s="90" t="s">
        <v>227</v>
      </c>
      <c r="B539" s="90" t="s">
        <v>227</v>
      </c>
      <c r="C539" s="91" t="s">
        <v>228</v>
      </c>
      <c r="D539" s="82"/>
      <c r="E539" s="82"/>
      <c r="F539" s="82"/>
      <c r="G539" s="82">
        <f>SUM(G540:G542)</f>
        <v>0</v>
      </c>
      <c r="H539" s="97"/>
    </row>
    <row r="540" spans="1:8" s="69" customFormat="1" ht="15.95" hidden="1" customHeight="1">
      <c r="A540" s="93"/>
      <c r="B540" s="93"/>
      <c r="C540" s="94"/>
      <c r="D540" s="95"/>
      <c r="E540" s="95"/>
      <c r="F540" s="95"/>
      <c r="G540" s="95">
        <f>ROUND(E540*F540,2)</f>
        <v>0</v>
      </c>
      <c r="H540" s="97">
        <v>0</v>
      </c>
    </row>
    <row r="541" spans="1:8" s="69" customFormat="1" ht="15.95" hidden="1" customHeight="1">
      <c r="A541" s="93"/>
      <c r="B541" s="93"/>
      <c r="C541" s="94"/>
      <c r="D541" s="95"/>
      <c r="E541" s="95"/>
      <c r="F541" s="95"/>
      <c r="G541" s="95">
        <f>ROUND(E541*F541,2)</f>
        <v>0</v>
      </c>
      <c r="H541" s="97">
        <v>0</v>
      </c>
    </row>
    <row r="542" spans="1:8" s="69" customFormat="1" ht="15.95" hidden="1" customHeight="1">
      <c r="A542" s="93"/>
      <c r="B542" s="93"/>
      <c r="C542" s="94"/>
      <c r="D542" s="95"/>
      <c r="E542" s="95"/>
      <c r="F542" s="95"/>
      <c r="G542" s="95">
        <f>ROUND(E542*F542,2)</f>
        <v>0</v>
      </c>
      <c r="H542" s="97">
        <v>0</v>
      </c>
    </row>
    <row r="543" spans="1:8" s="69" customFormat="1" ht="15.95" hidden="1" customHeight="1">
      <c r="A543" s="90" t="s">
        <v>229</v>
      </c>
      <c r="B543" s="90" t="s">
        <v>229</v>
      </c>
      <c r="C543" s="91" t="s">
        <v>230</v>
      </c>
      <c r="D543" s="82"/>
      <c r="E543" s="82"/>
      <c r="F543" s="82"/>
      <c r="G543" s="82">
        <f>SUM(G544:G546)</f>
        <v>0</v>
      </c>
      <c r="H543" s="97"/>
    </row>
    <row r="544" spans="1:8" s="69" customFormat="1" ht="15.95" hidden="1" customHeight="1">
      <c r="A544" s="93"/>
      <c r="B544" s="93"/>
      <c r="C544" s="94"/>
      <c r="D544" s="95"/>
      <c r="E544" s="95"/>
      <c r="F544" s="95"/>
      <c r="G544" s="95">
        <f>ROUND(E544*F544,2)</f>
        <v>0</v>
      </c>
      <c r="H544" s="97">
        <v>0</v>
      </c>
    </row>
    <row r="545" spans="1:8" s="69" customFormat="1" ht="15.95" hidden="1" customHeight="1">
      <c r="A545" s="93"/>
      <c r="B545" s="93"/>
      <c r="C545" s="94"/>
      <c r="D545" s="95"/>
      <c r="E545" s="95"/>
      <c r="F545" s="95"/>
      <c r="G545" s="95">
        <f>ROUND(E545*F545,2)</f>
        <v>0</v>
      </c>
      <c r="H545" s="97">
        <v>0</v>
      </c>
    </row>
    <row r="546" spans="1:8" s="69" customFormat="1" ht="15.95" hidden="1" customHeight="1">
      <c r="A546" s="93"/>
      <c r="B546" s="93"/>
      <c r="C546" s="94"/>
      <c r="D546" s="95"/>
      <c r="E546" s="95"/>
      <c r="F546" s="95"/>
      <c r="G546" s="95">
        <f>ROUND(E546*F546,2)</f>
        <v>0</v>
      </c>
      <c r="H546" s="97">
        <v>0</v>
      </c>
    </row>
    <row r="547" spans="1:8" s="69" customFormat="1" ht="15.95" hidden="1" customHeight="1">
      <c r="A547" s="90" t="s">
        <v>231</v>
      </c>
      <c r="B547" s="90" t="s">
        <v>231</v>
      </c>
      <c r="C547" s="91" t="s">
        <v>232</v>
      </c>
      <c r="D547" s="82"/>
      <c r="E547" s="82"/>
      <c r="F547" s="82"/>
      <c r="G547" s="82">
        <f>SUM(G548:G550)</f>
        <v>0</v>
      </c>
      <c r="H547" s="97"/>
    </row>
    <row r="548" spans="1:8" s="69" customFormat="1" ht="15.95" hidden="1" customHeight="1">
      <c r="A548" s="93"/>
      <c r="B548" s="93"/>
      <c r="C548" s="94"/>
      <c r="D548" s="95"/>
      <c r="E548" s="95"/>
      <c r="F548" s="95"/>
      <c r="G548" s="95">
        <f>ROUND(E548*F548,2)</f>
        <v>0</v>
      </c>
      <c r="H548" s="97">
        <v>0</v>
      </c>
    </row>
    <row r="549" spans="1:8" s="69" customFormat="1" ht="15.95" hidden="1" customHeight="1">
      <c r="A549" s="93"/>
      <c r="B549" s="93"/>
      <c r="C549" s="94"/>
      <c r="D549" s="95"/>
      <c r="E549" s="95"/>
      <c r="F549" s="95"/>
      <c r="G549" s="95">
        <f>ROUND(E549*F549,2)</f>
        <v>0</v>
      </c>
      <c r="H549" s="97">
        <v>0</v>
      </c>
    </row>
    <row r="550" spans="1:8" s="69" customFormat="1" ht="15.95" hidden="1" customHeight="1">
      <c r="A550" s="93"/>
      <c r="B550" s="93"/>
      <c r="C550" s="94"/>
      <c r="D550" s="95"/>
      <c r="E550" s="95"/>
      <c r="F550" s="95"/>
      <c r="G550" s="95">
        <f>ROUND(E550*F550,2)</f>
        <v>0</v>
      </c>
      <c r="H550" s="97">
        <v>0</v>
      </c>
    </row>
    <row r="551" spans="1:8" s="69" customFormat="1" ht="15.95" hidden="1" customHeight="1">
      <c r="A551" s="90" t="s">
        <v>233</v>
      </c>
      <c r="B551" s="90" t="s">
        <v>233</v>
      </c>
      <c r="C551" s="91" t="s">
        <v>234</v>
      </c>
      <c r="D551" s="82"/>
      <c r="E551" s="82"/>
      <c r="F551" s="82"/>
      <c r="G551" s="82">
        <f>SUM(G552:G554)</f>
        <v>0</v>
      </c>
      <c r="H551" s="97"/>
    </row>
    <row r="552" spans="1:8" s="69" customFormat="1" ht="15.95" hidden="1" customHeight="1">
      <c r="A552" s="93"/>
      <c r="B552" s="93"/>
      <c r="C552" s="94"/>
      <c r="D552" s="95"/>
      <c r="E552" s="95"/>
      <c r="F552" s="95"/>
      <c r="G552" s="95">
        <f>ROUND(E552*F552,2)</f>
        <v>0</v>
      </c>
      <c r="H552" s="96">
        <v>0</v>
      </c>
    </row>
    <row r="553" spans="1:8" s="69" customFormat="1" ht="15.95" hidden="1" customHeight="1">
      <c r="A553" s="93"/>
      <c r="B553" s="93"/>
      <c r="C553" s="94"/>
      <c r="D553" s="95"/>
      <c r="E553" s="95"/>
      <c r="F553" s="95"/>
      <c r="G553" s="95">
        <f>ROUND(E553*F553,2)</f>
        <v>0</v>
      </c>
      <c r="H553" s="96">
        <v>0</v>
      </c>
    </row>
    <row r="554" spans="1:8" s="69" customFormat="1" ht="15.95" hidden="1" customHeight="1">
      <c r="A554" s="93"/>
      <c r="B554" s="93"/>
      <c r="C554" s="94"/>
      <c r="D554" s="95"/>
      <c r="E554" s="95"/>
      <c r="F554" s="95"/>
      <c r="G554" s="95">
        <f>ROUND(E554*F554,2)</f>
        <v>0</v>
      </c>
      <c r="H554" s="96">
        <v>0</v>
      </c>
    </row>
    <row r="555" spans="1:8" s="69" customFormat="1" ht="15.95" hidden="1" customHeight="1">
      <c r="A555" s="90" t="s">
        <v>235</v>
      </c>
      <c r="B555" s="90" t="s">
        <v>235</v>
      </c>
      <c r="C555" s="91" t="s">
        <v>236</v>
      </c>
      <c r="D555" s="82"/>
      <c r="E555" s="82"/>
      <c r="F555" s="82"/>
      <c r="G555" s="82">
        <f>SUM(G556:G558)</f>
        <v>0</v>
      </c>
      <c r="H555" s="97"/>
    </row>
    <row r="556" spans="1:8" s="69" customFormat="1" ht="15.95" hidden="1" customHeight="1">
      <c r="A556" s="93"/>
      <c r="B556" s="93"/>
      <c r="C556" s="94"/>
      <c r="D556" s="95"/>
      <c r="E556" s="95"/>
      <c r="F556" s="95"/>
      <c r="G556" s="95">
        <f>ROUND(E556*F556,2)</f>
        <v>0</v>
      </c>
      <c r="H556" s="96">
        <v>0</v>
      </c>
    </row>
    <row r="557" spans="1:8" s="69" customFormat="1" ht="15.95" hidden="1" customHeight="1">
      <c r="A557" s="93"/>
      <c r="B557" s="93"/>
      <c r="C557" s="94"/>
      <c r="D557" s="95"/>
      <c r="E557" s="95"/>
      <c r="F557" s="95"/>
      <c r="G557" s="95">
        <f>ROUND(E557*F557,2)</f>
        <v>0</v>
      </c>
      <c r="H557" s="96">
        <v>0</v>
      </c>
    </row>
    <row r="558" spans="1:8" s="69" customFormat="1" ht="15.95" hidden="1" customHeight="1">
      <c r="A558" s="93"/>
      <c r="B558" s="93"/>
      <c r="C558" s="94"/>
      <c r="D558" s="95"/>
      <c r="E558" s="95"/>
      <c r="F558" s="95"/>
      <c r="G558" s="95">
        <f>ROUND(E558*F558,2)</f>
        <v>0</v>
      </c>
      <c r="H558" s="96">
        <v>0</v>
      </c>
    </row>
    <row r="559" spans="1:8" s="69" customFormat="1" ht="15.95" hidden="1" customHeight="1">
      <c r="A559" s="90" t="s">
        <v>237</v>
      </c>
      <c r="B559" s="90" t="s">
        <v>237</v>
      </c>
      <c r="C559" s="91" t="s">
        <v>238</v>
      </c>
      <c r="D559" s="82"/>
      <c r="E559" s="82"/>
      <c r="F559" s="82"/>
      <c r="G559" s="82">
        <f>SUM(G560:G562)</f>
        <v>0</v>
      </c>
      <c r="H559" s="97"/>
    </row>
    <row r="560" spans="1:8" s="69" customFormat="1" ht="15.95" hidden="1" customHeight="1">
      <c r="A560" s="93"/>
      <c r="B560" s="93"/>
      <c r="C560" s="94"/>
      <c r="D560" s="95"/>
      <c r="E560" s="95"/>
      <c r="F560" s="95"/>
      <c r="G560" s="95">
        <f>ROUND(E560*F560,2)</f>
        <v>0</v>
      </c>
      <c r="H560" s="96">
        <v>0</v>
      </c>
    </row>
    <row r="561" spans="1:8" s="69" customFormat="1" ht="15.95" hidden="1" customHeight="1">
      <c r="A561" s="93"/>
      <c r="B561" s="93"/>
      <c r="C561" s="94"/>
      <c r="D561" s="95"/>
      <c r="E561" s="95"/>
      <c r="F561" s="95"/>
      <c r="G561" s="95">
        <f>ROUND(E561*F561,2)</f>
        <v>0</v>
      </c>
      <c r="H561" s="96">
        <v>0</v>
      </c>
    </row>
    <row r="562" spans="1:8" s="69" customFormat="1" ht="15.95" hidden="1" customHeight="1">
      <c r="A562" s="93"/>
      <c r="B562" s="93"/>
      <c r="C562" s="94"/>
      <c r="D562" s="95"/>
      <c r="E562" s="95"/>
      <c r="F562" s="95"/>
      <c r="G562" s="95">
        <f>ROUND(E562*F562,2)</f>
        <v>0</v>
      </c>
      <c r="H562" s="96">
        <v>0</v>
      </c>
    </row>
    <row r="563" spans="1:8" s="69" customFormat="1" ht="15.95" hidden="1" customHeight="1">
      <c r="A563" s="90" t="s">
        <v>239</v>
      </c>
      <c r="B563" s="90" t="s">
        <v>239</v>
      </c>
      <c r="C563" s="91" t="s">
        <v>240</v>
      </c>
      <c r="D563" s="82"/>
      <c r="E563" s="82"/>
      <c r="F563" s="82"/>
      <c r="G563" s="82">
        <f>SUM(G564:G566)</f>
        <v>0</v>
      </c>
      <c r="H563" s="97"/>
    </row>
    <row r="564" spans="1:8" s="69" customFormat="1" ht="15.95" hidden="1" customHeight="1">
      <c r="A564" s="93"/>
      <c r="B564" s="93"/>
      <c r="C564" s="94"/>
      <c r="D564" s="95"/>
      <c r="E564" s="95"/>
      <c r="F564" s="95"/>
      <c r="G564" s="95">
        <f>ROUND(E564*F564,2)</f>
        <v>0</v>
      </c>
      <c r="H564" s="96">
        <v>0</v>
      </c>
    </row>
    <row r="565" spans="1:8" s="69" customFormat="1" ht="15.95" hidden="1" customHeight="1">
      <c r="A565" s="93"/>
      <c r="B565" s="93"/>
      <c r="C565" s="94"/>
      <c r="D565" s="95"/>
      <c r="E565" s="95"/>
      <c r="F565" s="95"/>
      <c r="G565" s="95">
        <f>ROUND(E565*F565,2)</f>
        <v>0</v>
      </c>
      <c r="H565" s="96">
        <v>0</v>
      </c>
    </row>
    <row r="566" spans="1:8" s="69" customFormat="1" ht="15.95" hidden="1" customHeight="1">
      <c r="A566" s="93"/>
      <c r="B566" s="93"/>
      <c r="C566" s="94"/>
      <c r="D566" s="95"/>
      <c r="E566" s="95"/>
      <c r="F566" s="95"/>
      <c r="G566" s="95">
        <f>ROUND(E566*F566,2)</f>
        <v>0</v>
      </c>
      <c r="H566" s="96">
        <v>0</v>
      </c>
    </row>
    <row r="567" spans="1:8" s="69" customFormat="1" ht="15.95" hidden="1" customHeight="1">
      <c r="A567" s="90" t="s">
        <v>241</v>
      </c>
      <c r="B567" s="90" t="s">
        <v>241</v>
      </c>
      <c r="C567" s="91" t="s">
        <v>242</v>
      </c>
      <c r="D567" s="82"/>
      <c r="E567" s="82"/>
      <c r="F567" s="82"/>
      <c r="G567" s="82">
        <f>SUM(G568:G570)</f>
        <v>0</v>
      </c>
      <c r="H567" s="97"/>
    </row>
    <row r="568" spans="1:8" s="69" customFormat="1" ht="15.95" hidden="1" customHeight="1">
      <c r="A568" s="93"/>
      <c r="B568" s="93"/>
      <c r="C568" s="94"/>
      <c r="D568" s="95"/>
      <c r="E568" s="95"/>
      <c r="F568" s="95"/>
      <c r="G568" s="95">
        <f>ROUND(E568*F568,2)</f>
        <v>0</v>
      </c>
      <c r="H568" s="96">
        <v>0</v>
      </c>
    </row>
    <row r="569" spans="1:8" s="69" customFormat="1" ht="15.95" hidden="1" customHeight="1">
      <c r="A569" s="93"/>
      <c r="B569" s="93"/>
      <c r="C569" s="94"/>
      <c r="D569" s="95"/>
      <c r="E569" s="95"/>
      <c r="F569" s="95"/>
      <c r="G569" s="95">
        <f>ROUND(E569*F569,2)</f>
        <v>0</v>
      </c>
      <c r="H569" s="96">
        <v>0</v>
      </c>
    </row>
    <row r="570" spans="1:8" s="69" customFormat="1" ht="15.95" hidden="1" customHeight="1">
      <c r="A570" s="93"/>
      <c r="B570" s="93"/>
      <c r="C570" s="94"/>
      <c r="D570" s="95"/>
      <c r="E570" s="95"/>
      <c r="F570" s="95"/>
      <c r="G570" s="95">
        <f>ROUND(E570*F570,2)</f>
        <v>0</v>
      </c>
      <c r="H570" s="96">
        <v>0</v>
      </c>
    </row>
    <row r="571" spans="1:8" s="69" customFormat="1" ht="15.95" hidden="1" customHeight="1">
      <c r="A571" s="83"/>
      <c r="B571" s="83"/>
      <c r="C571" s="84" t="s">
        <v>243</v>
      </c>
      <c r="D571" s="85"/>
      <c r="E571" s="85"/>
      <c r="F571" s="85"/>
      <c r="G571" s="85"/>
      <c r="H571" s="97"/>
    </row>
    <row r="572" spans="1:8" s="69" customFormat="1" ht="15.95" hidden="1" customHeight="1">
      <c r="A572" s="87" t="s">
        <v>244</v>
      </c>
      <c r="B572" s="87" t="s">
        <v>244</v>
      </c>
      <c r="C572" s="88" t="s">
        <v>245</v>
      </c>
      <c r="D572" s="89"/>
      <c r="E572" s="89"/>
      <c r="F572" s="89"/>
      <c r="G572" s="89">
        <f>SG_07_01+SG_07_02+SG_07_03+SG_07_04+SG_07_05+SG_07_06+SG_07_07+SG_07_08+SG_07_09+SG_07_10+SG_07_11+SG_07_12+SG_07_13+SG_07_14+SG_07_15+SG_07_16+SG_07_17+SG_07_18+SG_07_19+SG_07_20</f>
        <v>0</v>
      </c>
      <c r="H572" s="97"/>
    </row>
    <row r="573" spans="1:8" s="69" customFormat="1" ht="15.95" hidden="1" customHeight="1">
      <c r="A573" s="90" t="s">
        <v>246</v>
      </c>
      <c r="B573" s="90" t="s">
        <v>246</v>
      </c>
      <c r="C573" s="91" t="s">
        <v>247</v>
      </c>
      <c r="D573" s="82"/>
      <c r="E573" s="82"/>
      <c r="F573" s="82"/>
      <c r="G573" s="82">
        <f>SUM(G574:G576)</f>
        <v>0</v>
      </c>
      <c r="H573" s="97"/>
    </row>
    <row r="574" spans="1:8" s="69" customFormat="1" ht="15.95" hidden="1" customHeight="1">
      <c r="A574" s="93"/>
      <c r="B574" s="93"/>
      <c r="C574" s="94"/>
      <c r="D574" s="95"/>
      <c r="E574" s="95"/>
      <c r="F574" s="95"/>
      <c r="G574" s="95">
        <f>ROUND(E574*F574,2)</f>
        <v>0</v>
      </c>
      <c r="H574" s="97">
        <v>0</v>
      </c>
    </row>
    <row r="575" spans="1:8" s="69" customFormat="1" ht="15.95" hidden="1" customHeight="1">
      <c r="A575" s="93"/>
      <c r="B575" s="93"/>
      <c r="C575" s="94"/>
      <c r="D575" s="95"/>
      <c r="E575" s="95"/>
      <c r="F575" s="95"/>
      <c r="G575" s="95">
        <f>ROUND(E575*F575,2)</f>
        <v>0</v>
      </c>
      <c r="H575" s="97">
        <v>0</v>
      </c>
    </row>
    <row r="576" spans="1:8" s="69" customFormat="1" ht="15.95" hidden="1" customHeight="1">
      <c r="A576" s="93"/>
      <c r="B576" s="93"/>
      <c r="C576" s="94"/>
      <c r="D576" s="95"/>
      <c r="E576" s="95"/>
      <c r="F576" s="95"/>
      <c r="G576" s="95">
        <f>ROUND(E576*F576,2)</f>
        <v>0</v>
      </c>
      <c r="H576" s="97">
        <v>0</v>
      </c>
    </row>
    <row r="577" spans="1:8" s="69" customFormat="1" ht="15.95" hidden="1" customHeight="1">
      <c r="A577" s="90" t="s">
        <v>248</v>
      </c>
      <c r="B577" s="90" t="s">
        <v>248</v>
      </c>
      <c r="C577" s="91" t="s">
        <v>249</v>
      </c>
      <c r="D577" s="82"/>
      <c r="E577" s="82"/>
      <c r="F577" s="82"/>
      <c r="G577" s="82">
        <f>SUM(G578:G580)</f>
        <v>0</v>
      </c>
      <c r="H577" s="97"/>
    </row>
    <row r="578" spans="1:8" s="69" customFormat="1" ht="15.95" hidden="1" customHeight="1">
      <c r="A578" s="93"/>
      <c r="B578" s="93"/>
      <c r="C578" s="94"/>
      <c r="D578" s="95"/>
      <c r="E578" s="95"/>
      <c r="F578" s="95"/>
      <c r="G578" s="95">
        <f>ROUND(E578*F578,2)</f>
        <v>0</v>
      </c>
      <c r="H578" s="97">
        <v>0</v>
      </c>
    </row>
    <row r="579" spans="1:8" s="69" customFormat="1" ht="15.95" hidden="1" customHeight="1">
      <c r="A579" s="93"/>
      <c r="B579" s="93"/>
      <c r="C579" s="94"/>
      <c r="D579" s="95"/>
      <c r="E579" s="95"/>
      <c r="F579" s="95"/>
      <c r="G579" s="95">
        <f>ROUND(E579*F579,2)</f>
        <v>0</v>
      </c>
      <c r="H579" s="97">
        <v>0</v>
      </c>
    </row>
    <row r="580" spans="1:8" s="69" customFormat="1" ht="15.95" hidden="1" customHeight="1">
      <c r="A580" s="93"/>
      <c r="B580" s="93"/>
      <c r="C580" s="94"/>
      <c r="D580" s="95"/>
      <c r="E580" s="95"/>
      <c r="F580" s="95"/>
      <c r="G580" s="95">
        <f>ROUND(E580*F580,2)</f>
        <v>0</v>
      </c>
      <c r="H580" s="97">
        <v>0</v>
      </c>
    </row>
    <row r="581" spans="1:8" s="69" customFormat="1" ht="15.95" hidden="1" customHeight="1">
      <c r="A581" s="90" t="s">
        <v>250</v>
      </c>
      <c r="B581" s="90" t="s">
        <v>250</v>
      </c>
      <c r="C581" s="91" t="s">
        <v>251</v>
      </c>
      <c r="D581" s="82"/>
      <c r="E581" s="82"/>
      <c r="F581" s="82"/>
      <c r="G581" s="82">
        <f>SUM(G582:G584)</f>
        <v>0</v>
      </c>
      <c r="H581" s="97"/>
    </row>
    <row r="582" spans="1:8" s="69" customFormat="1" ht="15.95" hidden="1" customHeight="1">
      <c r="A582" s="93"/>
      <c r="B582" s="93"/>
      <c r="C582" s="94"/>
      <c r="D582" s="95"/>
      <c r="E582" s="95"/>
      <c r="F582" s="95"/>
      <c r="G582" s="95">
        <f>ROUND(E582*F582,2)</f>
        <v>0</v>
      </c>
      <c r="H582" s="97">
        <v>0</v>
      </c>
    </row>
    <row r="583" spans="1:8" s="69" customFormat="1" ht="15.95" hidden="1" customHeight="1">
      <c r="A583" s="93"/>
      <c r="B583" s="93"/>
      <c r="C583" s="94"/>
      <c r="D583" s="95"/>
      <c r="E583" s="95"/>
      <c r="F583" s="95"/>
      <c r="G583" s="95">
        <f>ROUND(E583*F583,2)</f>
        <v>0</v>
      </c>
      <c r="H583" s="97">
        <v>0</v>
      </c>
    </row>
    <row r="584" spans="1:8" s="69" customFormat="1" ht="15.95" hidden="1" customHeight="1">
      <c r="A584" s="93"/>
      <c r="B584" s="93"/>
      <c r="C584" s="94"/>
      <c r="D584" s="95"/>
      <c r="E584" s="95"/>
      <c r="F584" s="95"/>
      <c r="G584" s="95">
        <f>ROUND(E584*F584,2)</f>
        <v>0</v>
      </c>
      <c r="H584" s="97">
        <v>0</v>
      </c>
    </row>
    <row r="585" spans="1:8" s="69" customFormat="1" ht="15.95" hidden="1" customHeight="1">
      <c r="A585" s="90" t="s">
        <v>252</v>
      </c>
      <c r="B585" s="90" t="s">
        <v>252</v>
      </c>
      <c r="C585" s="91" t="s">
        <v>253</v>
      </c>
      <c r="D585" s="82"/>
      <c r="E585" s="82"/>
      <c r="F585" s="82"/>
      <c r="G585" s="82">
        <f>SUM(G586:G588)</f>
        <v>0</v>
      </c>
      <c r="H585" s="97"/>
    </row>
    <row r="586" spans="1:8" s="69" customFormat="1" ht="15.95" hidden="1" customHeight="1">
      <c r="A586" s="93"/>
      <c r="B586" s="93"/>
      <c r="C586" s="94"/>
      <c r="D586" s="95"/>
      <c r="E586" s="95"/>
      <c r="F586" s="95"/>
      <c r="G586" s="95">
        <f>ROUND(E586*F586,2)</f>
        <v>0</v>
      </c>
      <c r="H586" s="97">
        <v>0</v>
      </c>
    </row>
    <row r="587" spans="1:8" s="69" customFormat="1" ht="15.95" hidden="1" customHeight="1">
      <c r="A587" s="93"/>
      <c r="B587" s="93"/>
      <c r="C587" s="94"/>
      <c r="D587" s="95"/>
      <c r="E587" s="95"/>
      <c r="F587" s="95"/>
      <c r="G587" s="95">
        <f>ROUND(E587*F587,2)</f>
        <v>0</v>
      </c>
      <c r="H587" s="97">
        <v>0</v>
      </c>
    </row>
    <row r="588" spans="1:8" s="69" customFormat="1" ht="15.95" hidden="1" customHeight="1">
      <c r="A588" s="93"/>
      <c r="B588" s="93"/>
      <c r="C588" s="94"/>
      <c r="D588" s="95"/>
      <c r="E588" s="95"/>
      <c r="F588" s="95"/>
      <c r="G588" s="95">
        <f>ROUND(E588*F588,2)</f>
        <v>0</v>
      </c>
      <c r="H588" s="97">
        <v>0</v>
      </c>
    </row>
    <row r="589" spans="1:8" s="69" customFormat="1" ht="15.95" hidden="1" customHeight="1">
      <c r="A589" s="90" t="s">
        <v>254</v>
      </c>
      <c r="B589" s="90" t="s">
        <v>254</v>
      </c>
      <c r="C589" s="91" t="s">
        <v>255</v>
      </c>
      <c r="D589" s="82"/>
      <c r="E589" s="82"/>
      <c r="F589" s="82"/>
      <c r="G589" s="82">
        <f>SUM(G590:G592)</f>
        <v>0</v>
      </c>
      <c r="H589" s="97"/>
    </row>
    <row r="590" spans="1:8" s="69" customFormat="1" ht="15.95" hidden="1" customHeight="1">
      <c r="A590" s="93"/>
      <c r="B590" s="93"/>
      <c r="C590" s="94"/>
      <c r="D590" s="95"/>
      <c r="E590" s="95"/>
      <c r="F590" s="95"/>
      <c r="G590" s="95">
        <f>ROUND(E590*F590,2)</f>
        <v>0</v>
      </c>
      <c r="H590" s="97">
        <v>0</v>
      </c>
    </row>
    <row r="591" spans="1:8" s="69" customFormat="1" ht="15.95" hidden="1" customHeight="1">
      <c r="A591" s="93"/>
      <c r="B591" s="93"/>
      <c r="C591" s="94"/>
      <c r="D591" s="95"/>
      <c r="E591" s="95"/>
      <c r="F591" s="95"/>
      <c r="G591" s="95">
        <f>ROUND(E591*F591,2)</f>
        <v>0</v>
      </c>
      <c r="H591" s="97">
        <v>0</v>
      </c>
    </row>
    <row r="592" spans="1:8" s="69" customFormat="1" ht="15.95" hidden="1" customHeight="1">
      <c r="A592" s="93"/>
      <c r="B592" s="93"/>
      <c r="C592" s="94"/>
      <c r="D592" s="95"/>
      <c r="E592" s="95"/>
      <c r="F592" s="95"/>
      <c r="G592" s="95">
        <f>ROUND(E592*F592,2)</f>
        <v>0</v>
      </c>
      <c r="H592" s="97">
        <v>0</v>
      </c>
    </row>
    <row r="593" spans="1:8" s="69" customFormat="1" ht="15.95" hidden="1" customHeight="1">
      <c r="A593" s="90" t="s">
        <v>256</v>
      </c>
      <c r="B593" s="90" t="s">
        <v>256</v>
      </c>
      <c r="C593" s="91" t="s">
        <v>257</v>
      </c>
      <c r="D593" s="82"/>
      <c r="E593" s="82"/>
      <c r="F593" s="82"/>
      <c r="G593" s="82">
        <f>SUM(G594:G596)</f>
        <v>0</v>
      </c>
      <c r="H593" s="97"/>
    </row>
    <row r="594" spans="1:8" s="69" customFormat="1" ht="15.95" hidden="1" customHeight="1">
      <c r="A594" s="93"/>
      <c r="B594" s="93"/>
      <c r="C594" s="94"/>
      <c r="D594" s="95"/>
      <c r="E594" s="95"/>
      <c r="F594" s="95"/>
      <c r="G594" s="95">
        <f>ROUND(E594*F594,2)</f>
        <v>0</v>
      </c>
      <c r="H594" s="97">
        <v>0</v>
      </c>
    </row>
    <row r="595" spans="1:8" s="69" customFormat="1" ht="15.95" hidden="1" customHeight="1">
      <c r="A595" s="93"/>
      <c r="B595" s="93"/>
      <c r="C595" s="94"/>
      <c r="D595" s="95"/>
      <c r="E595" s="95"/>
      <c r="F595" s="95"/>
      <c r="G595" s="95">
        <f>ROUND(E595*F595,2)</f>
        <v>0</v>
      </c>
      <c r="H595" s="97">
        <v>0</v>
      </c>
    </row>
    <row r="596" spans="1:8" s="69" customFormat="1" ht="15.95" hidden="1" customHeight="1">
      <c r="A596" s="93"/>
      <c r="B596" s="93"/>
      <c r="C596" s="94"/>
      <c r="D596" s="95"/>
      <c r="E596" s="95"/>
      <c r="F596" s="95"/>
      <c r="G596" s="95">
        <f>ROUND(E596*F596,2)</f>
        <v>0</v>
      </c>
      <c r="H596" s="97">
        <v>0</v>
      </c>
    </row>
    <row r="597" spans="1:8" s="69" customFormat="1" ht="15.95" hidden="1" customHeight="1">
      <c r="A597" s="90" t="s">
        <v>258</v>
      </c>
      <c r="B597" s="90" t="s">
        <v>258</v>
      </c>
      <c r="C597" s="91" t="s">
        <v>259</v>
      </c>
      <c r="D597" s="82"/>
      <c r="E597" s="82"/>
      <c r="F597" s="82"/>
      <c r="G597" s="82">
        <f>SUM(G598:G600)</f>
        <v>0</v>
      </c>
      <c r="H597" s="97"/>
    </row>
    <row r="598" spans="1:8" s="69" customFormat="1" ht="15.95" hidden="1" customHeight="1">
      <c r="A598" s="93"/>
      <c r="B598" s="93"/>
      <c r="C598" s="94"/>
      <c r="D598" s="95"/>
      <c r="E598" s="95"/>
      <c r="F598" s="95"/>
      <c r="G598" s="95">
        <f>ROUND(E598*F598,2)</f>
        <v>0</v>
      </c>
      <c r="H598" s="97">
        <v>0</v>
      </c>
    </row>
    <row r="599" spans="1:8" s="69" customFormat="1" ht="15.95" hidden="1" customHeight="1">
      <c r="A599" s="93"/>
      <c r="B599" s="93"/>
      <c r="C599" s="94"/>
      <c r="D599" s="95"/>
      <c r="E599" s="95"/>
      <c r="F599" s="95"/>
      <c r="G599" s="95">
        <f>ROUND(E599*F599,2)</f>
        <v>0</v>
      </c>
      <c r="H599" s="97">
        <v>0</v>
      </c>
    </row>
    <row r="600" spans="1:8" s="69" customFormat="1" ht="15.95" hidden="1" customHeight="1">
      <c r="A600" s="93"/>
      <c r="B600" s="93"/>
      <c r="C600" s="94"/>
      <c r="D600" s="95"/>
      <c r="E600" s="95"/>
      <c r="F600" s="95"/>
      <c r="G600" s="95">
        <f>ROUND(E600*F600,2)</f>
        <v>0</v>
      </c>
      <c r="H600" s="97">
        <v>0</v>
      </c>
    </row>
    <row r="601" spans="1:8" s="69" customFormat="1" ht="15.95" hidden="1" customHeight="1">
      <c r="A601" s="90" t="s">
        <v>260</v>
      </c>
      <c r="B601" s="90" t="s">
        <v>260</v>
      </c>
      <c r="C601" s="91" t="s">
        <v>261</v>
      </c>
      <c r="D601" s="82"/>
      <c r="E601" s="82"/>
      <c r="F601" s="82"/>
      <c r="G601" s="82">
        <f>SUM(G602:G604)</f>
        <v>0</v>
      </c>
      <c r="H601" s="97"/>
    </row>
    <row r="602" spans="1:8" s="69" customFormat="1" ht="15.95" hidden="1" customHeight="1">
      <c r="A602" s="93"/>
      <c r="B602" s="93"/>
      <c r="C602" s="94"/>
      <c r="D602" s="95"/>
      <c r="E602" s="95"/>
      <c r="F602" s="95"/>
      <c r="G602" s="95">
        <f>ROUND(E602*F602,2)</f>
        <v>0</v>
      </c>
      <c r="H602" s="97">
        <v>0</v>
      </c>
    </row>
    <row r="603" spans="1:8" s="69" customFormat="1" ht="15.95" hidden="1" customHeight="1">
      <c r="A603" s="93"/>
      <c r="B603" s="93"/>
      <c r="C603" s="94"/>
      <c r="D603" s="95"/>
      <c r="E603" s="95"/>
      <c r="F603" s="95"/>
      <c r="G603" s="95">
        <f>ROUND(E603*F603,2)</f>
        <v>0</v>
      </c>
      <c r="H603" s="97">
        <v>0</v>
      </c>
    </row>
    <row r="604" spans="1:8" s="69" customFormat="1" ht="15.95" hidden="1" customHeight="1">
      <c r="A604" s="93"/>
      <c r="B604" s="93"/>
      <c r="C604" s="94"/>
      <c r="D604" s="95"/>
      <c r="E604" s="95"/>
      <c r="F604" s="95"/>
      <c r="G604" s="95">
        <f>ROUND(E604*F604,2)</f>
        <v>0</v>
      </c>
      <c r="H604" s="97">
        <v>0</v>
      </c>
    </row>
    <row r="605" spans="1:8" s="69" customFormat="1" ht="15.95" hidden="1" customHeight="1">
      <c r="A605" s="90" t="s">
        <v>262</v>
      </c>
      <c r="B605" s="90" t="s">
        <v>262</v>
      </c>
      <c r="C605" s="91" t="s">
        <v>263</v>
      </c>
      <c r="D605" s="82"/>
      <c r="E605" s="82"/>
      <c r="F605" s="82"/>
      <c r="G605" s="82">
        <f>SUM(G606:G608)</f>
        <v>0</v>
      </c>
      <c r="H605" s="97"/>
    </row>
    <row r="606" spans="1:8" s="69" customFormat="1" ht="15.95" hidden="1" customHeight="1">
      <c r="A606" s="93"/>
      <c r="B606" s="93"/>
      <c r="C606" s="94"/>
      <c r="D606" s="95"/>
      <c r="E606" s="95"/>
      <c r="F606" s="95"/>
      <c r="G606" s="95">
        <f>ROUND(E606*F606,2)</f>
        <v>0</v>
      </c>
      <c r="H606" s="97">
        <v>0</v>
      </c>
    </row>
    <row r="607" spans="1:8" s="69" customFormat="1" ht="15.95" hidden="1" customHeight="1">
      <c r="A607" s="93"/>
      <c r="B607" s="93"/>
      <c r="C607" s="94"/>
      <c r="D607" s="95"/>
      <c r="E607" s="95"/>
      <c r="F607" s="95"/>
      <c r="G607" s="95">
        <f>ROUND(E607*F607,2)</f>
        <v>0</v>
      </c>
      <c r="H607" s="97">
        <v>0</v>
      </c>
    </row>
    <row r="608" spans="1:8" s="69" customFormat="1" ht="15.95" hidden="1" customHeight="1">
      <c r="A608" s="93"/>
      <c r="B608" s="93"/>
      <c r="C608" s="94"/>
      <c r="D608" s="95"/>
      <c r="E608" s="95"/>
      <c r="F608" s="95"/>
      <c r="G608" s="95">
        <f>ROUND(E608*F608,2)</f>
        <v>0</v>
      </c>
      <c r="H608" s="97">
        <v>0</v>
      </c>
    </row>
    <row r="609" spans="1:8" s="69" customFormat="1" ht="15.95" hidden="1" customHeight="1">
      <c r="A609" s="90" t="s">
        <v>264</v>
      </c>
      <c r="B609" s="90" t="s">
        <v>264</v>
      </c>
      <c r="C609" s="91" t="s">
        <v>265</v>
      </c>
      <c r="D609" s="82"/>
      <c r="E609" s="82"/>
      <c r="F609" s="82"/>
      <c r="G609" s="82">
        <f>SUM(G610:G612)</f>
        <v>0</v>
      </c>
      <c r="H609" s="97"/>
    </row>
    <row r="610" spans="1:8" s="69" customFormat="1" ht="15.95" hidden="1" customHeight="1">
      <c r="A610" s="93"/>
      <c r="B610" s="93"/>
      <c r="C610" s="94"/>
      <c r="D610" s="95"/>
      <c r="E610" s="95"/>
      <c r="F610" s="95"/>
      <c r="G610" s="95">
        <f>ROUND(E610*F610,2)</f>
        <v>0</v>
      </c>
      <c r="H610" s="97">
        <v>0</v>
      </c>
    </row>
    <row r="611" spans="1:8" s="69" customFormat="1" ht="15.95" hidden="1" customHeight="1">
      <c r="A611" s="93"/>
      <c r="B611" s="93"/>
      <c r="C611" s="94"/>
      <c r="D611" s="95"/>
      <c r="E611" s="95"/>
      <c r="F611" s="95"/>
      <c r="G611" s="95">
        <f>ROUND(E611*F611,2)</f>
        <v>0</v>
      </c>
      <c r="H611" s="97">
        <v>0</v>
      </c>
    </row>
    <row r="612" spans="1:8" s="69" customFormat="1" ht="15.95" hidden="1" customHeight="1">
      <c r="A612" s="93"/>
      <c r="B612" s="93"/>
      <c r="C612" s="94"/>
      <c r="D612" s="95"/>
      <c r="E612" s="95"/>
      <c r="F612" s="95"/>
      <c r="G612" s="95">
        <f>ROUND(E612*F612,2)</f>
        <v>0</v>
      </c>
      <c r="H612" s="97">
        <v>0</v>
      </c>
    </row>
    <row r="613" spans="1:8" s="69" customFormat="1" ht="15.95" hidden="1" customHeight="1">
      <c r="A613" s="90" t="s">
        <v>266</v>
      </c>
      <c r="B613" s="90" t="s">
        <v>266</v>
      </c>
      <c r="C613" s="91" t="s">
        <v>267</v>
      </c>
      <c r="D613" s="82"/>
      <c r="E613" s="82"/>
      <c r="F613" s="82"/>
      <c r="G613" s="82">
        <f>SUM(G614:G616)</f>
        <v>0</v>
      </c>
      <c r="H613" s="97"/>
    </row>
    <row r="614" spans="1:8" s="69" customFormat="1" ht="15.95" hidden="1" customHeight="1">
      <c r="A614" s="93"/>
      <c r="B614" s="93"/>
      <c r="C614" s="94"/>
      <c r="D614" s="95"/>
      <c r="E614" s="95"/>
      <c r="F614" s="95"/>
      <c r="G614" s="95">
        <f>ROUND(E614*F614,2)</f>
        <v>0</v>
      </c>
      <c r="H614" s="97">
        <v>0</v>
      </c>
    </row>
    <row r="615" spans="1:8" s="69" customFormat="1" ht="15.95" hidden="1" customHeight="1">
      <c r="A615" s="93"/>
      <c r="B615" s="93"/>
      <c r="C615" s="94"/>
      <c r="D615" s="95"/>
      <c r="E615" s="95"/>
      <c r="F615" s="95"/>
      <c r="G615" s="95">
        <f>ROUND(E615*F615,2)</f>
        <v>0</v>
      </c>
      <c r="H615" s="97">
        <v>0</v>
      </c>
    </row>
    <row r="616" spans="1:8" s="69" customFormat="1" ht="15.95" hidden="1" customHeight="1">
      <c r="A616" s="93"/>
      <c r="B616" s="93"/>
      <c r="C616" s="94"/>
      <c r="D616" s="95"/>
      <c r="E616" s="95"/>
      <c r="F616" s="95"/>
      <c r="G616" s="95">
        <f>ROUND(E616*F616,2)</f>
        <v>0</v>
      </c>
      <c r="H616" s="97">
        <v>0</v>
      </c>
    </row>
    <row r="617" spans="1:8" s="69" customFormat="1" ht="15.95" hidden="1" customHeight="1">
      <c r="A617" s="90" t="s">
        <v>268</v>
      </c>
      <c r="B617" s="90" t="s">
        <v>268</v>
      </c>
      <c r="C617" s="91" t="s">
        <v>269</v>
      </c>
      <c r="D617" s="82"/>
      <c r="E617" s="82"/>
      <c r="F617" s="82"/>
      <c r="G617" s="82">
        <f>SUM(G618:G620)</f>
        <v>0</v>
      </c>
      <c r="H617" s="97"/>
    </row>
    <row r="618" spans="1:8" s="69" customFormat="1" ht="15.95" hidden="1" customHeight="1">
      <c r="A618" s="93"/>
      <c r="B618" s="93"/>
      <c r="C618" s="94"/>
      <c r="D618" s="95"/>
      <c r="E618" s="95"/>
      <c r="F618" s="95"/>
      <c r="G618" s="95">
        <f>ROUND(E618*F618,2)</f>
        <v>0</v>
      </c>
      <c r="H618" s="97">
        <v>0</v>
      </c>
    </row>
    <row r="619" spans="1:8" s="69" customFormat="1" ht="15.95" hidden="1" customHeight="1">
      <c r="A619" s="93"/>
      <c r="B619" s="93"/>
      <c r="C619" s="94"/>
      <c r="D619" s="95"/>
      <c r="E619" s="95"/>
      <c r="F619" s="95"/>
      <c r="G619" s="95">
        <f>ROUND(E619*F619,2)</f>
        <v>0</v>
      </c>
      <c r="H619" s="97">
        <v>0</v>
      </c>
    </row>
    <row r="620" spans="1:8" s="69" customFormat="1" ht="15.95" hidden="1" customHeight="1">
      <c r="A620" s="93"/>
      <c r="B620" s="93"/>
      <c r="C620" s="94"/>
      <c r="D620" s="95"/>
      <c r="E620" s="95"/>
      <c r="F620" s="95"/>
      <c r="G620" s="95">
        <f>ROUND(E620*F620,2)</f>
        <v>0</v>
      </c>
      <c r="H620" s="97">
        <v>0</v>
      </c>
    </row>
    <row r="621" spans="1:8" s="69" customFormat="1" ht="15.95" hidden="1" customHeight="1">
      <c r="A621" s="90" t="s">
        <v>270</v>
      </c>
      <c r="B621" s="90" t="s">
        <v>270</v>
      </c>
      <c r="C621" s="91" t="s">
        <v>271</v>
      </c>
      <c r="D621" s="82"/>
      <c r="E621" s="82"/>
      <c r="F621" s="82"/>
      <c r="G621" s="82">
        <f>SUM(G622:G624)</f>
        <v>0</v>
      </c>
      <c r="H621" s="97"/>
    </row>
    <row r="622" spans="1:8" s="69" customFormat="1" ht="15.95" hidden="1" customHeight="1">
      <c r="A622" s="93"/>
      <c r="B622" s="93"/>
      <c r="C622" s="94"/>
      <c r="D622" s="95"/>
      <c r="E622" s="95"/>
      <c r="F622" s="95"/>
      <c r="G622" s="95">
        <f>ROUND(E622*F622,2)</f>
        <v>0</v>
      </c>
      <c r="H622" s="97">
        <v>0</v>
      </c>
    </row>
    <row r="623" spans="1:8" s="69" customFormat="1" ht="15.95" hidden="1" customHeight="1">
      <c r="A623" s="93"/>
      <c r="B623" s="93"/>
      <c r="C623" s="94"/>
      <c r="D623" s="95"/>
      <c r="E623" s="95"/>
      <c r="F623" s="95"/>
      <c r="G623" s="95">
        <f>ROUND(E623*F623,2)</f>
        <v>0</v>
      </c>
      <c r="H623" s="97">
        <v>0</v>
      </c>
    </row>
    <row r="624" spans="1:8" s="69" customFormat="1" ht="15.95" hidden="1" customHeight="1">
      <c r="A624" s="93"/>
      <c r="B624" s="93"/>
      <c r="C624" s="94"/>
      <c r="D624" s="95"/>
      <c r="E624" s="95"/>
      <c r="F624" s="95"/>
      <c r="G624" s="95">
        <f>ROUND(E624*F624,2)</f>
        <v>0</v>
      </c>
      <c r="H624" s="97">
        <v>0</v>
      </c>
    </row>
    <row r="625" spans="1:8" s="69" customFormat="1" ht="15.95" hidden="1" customHeight="1">
      <c r="A625" s="90" t="s">
        <v>272</v>
      </c>
      <c r="B625" s="90" t="s">
        <v>272</v>
      </c>
      <c r="C625" s="91" t="s">
        <v>273</v>
      </c>
      <c r="D625" s="82"/>
      <c r="E625" s="82"/>
      <c r="F625" s="82"/>
      <c r="G625" s="82">
        <f>SUM(G626:G628)</f>
        <v>0</v>
      </c>
      <c r="H625" s="97"/>
    </row>
    <row r="626" spans="1:8" s="69" customFormat="1" ht="15.95" hidden="1" customHeight="1">
      <c r="A626" s="93"/>
      <c r="B626" s="93"/>
      <c r="C626" s="94"/>
      <c r="D626" s="95"/>
      <c r="E626" s="95"/>
      <c r="F626" s="95"/>
      <c r="G626" s="95">
        <f>ROUND(E626*F626,2)</f>
        <v>0</v>
      </c>
      <c r="H626" s="97">
        <v>0</v>
      </c>
    </row>
    <row r="627" spans="1:8" s="69" customFormat="1" ht="15.95" hidden="1" customHeight="1">
      <c r="A627" s="93"/>
      <c r="B627" s="93"/>
      <c r="C627" s="94"/>
      <c r="D627" s="95"/>
      <c r="E627" s="95"/>
      <c r="F627" s="95"/>
      <c r="G627" s="95">
        <f>ROUND(E627*F627,2)</f>
        <v>0</v>
      </c>
      <c r="H627" s="97">
        <v>0</v>
      </c>
    </row>
    <row r="628" spans="1:8" s="69" customFormat="1" ht="15.95" hidden="1" customHeight="1">
      <c r="A628" s="93"/>
      <c r="B628" s="93"/>
      <c r="C628" s="94"/>
      <c r="D628" s="95"/>
      <c r="E628" s="95"/>
      <c r="F628" s="95"/>
      <c r="G628" s="95">
        <f>ROUND(E628*F628,2)</f>
        <v>0</v>
      </c>
      <c r="H628" s="97">
        <v>0</v>
      </c>
    </row>
    <row r="629" spans="1:8" s="69" customFormat="1" ht="15.95" hidden="1" customHeight="1">
      <c r="A629" s="90" t="s">
        <v>274</v>
      </c>
      <c r="B629" s="90" t="s">
        <v>274</v>
      </c>
      <c r="C629" s="91" t="s">
        <v>275</v>
      </c>
      <c r="D629" s="82"/>
      <c r="E629" s="82"/>
      <c r="F629" s="82"/>
      <c r="G629" s="82">
        <f>SUM(G630:G632)</f>
        <v>0</v>
      </c>
      <c r="H629" s="97"/>
    </row>
    <row r="630" spans="1:8" s="69" customFormat="1" ht="15.95" hidden="1" customHeight="1">
      <c r="A630" s="93"/>
      <c r="B630" s="93"/>
      <c r="C630" s="94"/>
      <c r="D630" s="95"/>
      <c r="E630" s="95"/>
      <c r="F630" s="95"/>
      <c r="G630" s="95">
        <f>ROUND(E630*F630,2)</f>
        <v>0</v>
      </c>
      <c r="H630" s="97">
        <v>0</v>
      </c>
    </row>
    <row r="631" spans="1:8" s="69" customFormat="1" ht="15.95" hidden="1" customHeight="1">
      <c r="A631" s="93"/>
      <c r="B631" s="93"/>
      <c r="C631" s="94"/>
      <c r="D631" s="95"/>
      <c r="E631" s="95"/>
      <c r="F631" s="95"/>
      <c r="G631" s="95">
        <f>ROUND(E631*F631,2)</f>
        <v>0</v>
      </c>
      <c r="H631" s="97">
        <v>0</v>
      </c>
    </row>
    <row r="632" spans="1:8" s="69" customFormat="1" ht="15.95" hidden="1" customHeight="1">
      <c r="A632" s="93"/>
      <c r="B632" s="93"/>
      <c r="C632" s="94"/>
      <c r="D632" s="95"/>
      <c r="E632" s="95"/>
      <c r="F632" s="95"/>
      <c r="G632" s="95">
        <f>ROUND(E632*F632,2)</f>
        <v>0</v>
      </c>
      <c r="H632" s="97">
        <v>0</v>
      </c>
    </row>
    <row r="633" spans="1:8" s="69" customFormat="1" ht="15.95" hidden="1" customHeight="1">
      <c r="A633" s="90" t="s">
        <v>276</v>
      </c>
      <c r="B633" s="90" t="s">
        <v>276</v>
      </c>
      <c r="C633" s="91" t="s">
        <v>277</v>
      </c>
      <c r="D633" s="82"/>
      <c r="E633" s="82"/>
      <c r="F633" s="82"/>
      <c r="G633" s="82">
        <f>SUM(G634:G636)</f>
        <v>0</v>
      </c>
      <c r="H633" s="97"/>
    </row>
    <row r="634" spans="1:8" s="69" customFormat="1" ht="15.95" hidden="1" customHeight="1">
      <c r="A634" s="93"/>
      <c r="B634" s="93"/>
      <c r="C634" s="94"/>
      <c r="D634" s="95"/>
      <c r="E634" s="95"/>
      <c r="F634" s="95"/>
      <c r="G634" s="95">
        <f>ROUND(E634*F634,2)</f>
        <v>0</v>
      </c>
      <c r="H634" s="96">
        <v>0</v>
      </c>
    </row>
    <row r="635" spans="1:8" s="69" customFormat="1" ht="15.95" hidden="1" customHeight="1">
      <c r="A635" s="93"/>
      <c r="B635" s="93"/>
      <c r="C635" s="94"/>
      <c r="D635" s="95"/>
      <c r="E635" s="95"/>
      <c r="F635" s="95"/>
      <c r="G635" s="95">
        <f>ROUND(E635*F635,2)</f>
        <v>0</v>
      </c>
      <c r="H635" s="96">
        <v>0</v>
      </c>
    </row>
    <row r="636" spans="1:8" s="69" customFormat="1" ht="15.95" hidden="1" customHeight="1">
      <c r="A636" s="93"/>
      <c r="B636" s="93"/>
      <c r="C636" s="94"/>
      <c r="D636" s="95"/>
      <c r="E636" s="95"/>
      <c r="F636" s="95"/>
      <c r="G636" s="95">
        <f>ROUND(E636*F636,2)</f>
        <v>0</v>
      </c>
      <c r="H636" s="96">
        <v>0</v>
      </c>
    </row>
    <row r="637" spans="1:8" s="69" customFormat="1" ht="15.95" hidden="1" customHeight="1">
      <c r="A637" s="90" t="s">
        <v>278</v>
      </c>
      <c r="B637" s="90" t="s">
        <v>278</v>
      </c>
      <c r="C637" s="91" t="s">
        <v>279</v>
      </c>
      <c r="D637" s="82"/>
      <c r="E637" s="82"/>
      <c r="F637" s="82"/>
      <c r="G637" s="82">
        <f>SUM(G638:G640)</f>
        <v>0</v>
      </c>
      <c r="H637" s="97"/>
    </row>
    <row r="638" spans="1:8" s="69" customFormat="1" ht="15.95" hidden="1" customHeight="1">
      <c r="A638" s="93"/>
      <c r="B638" s="93"/>
      <c r="C638" s="94"/>
      <c r="D638" s="95"/>
      <c r="E638" s="95"/>
      <c r="F638" s="95"/>
      <c r="G638" s="95">
        <f>ROUND(E638*F638,2)</f>
        <v>0</v>
      </c>
      <c r="H638" s="96">
        <v>0</v>
      </c>
    </row>
    <row r="639" spans="1:8" s="69" customFormat="1" ht="15.95" hidden="1" customHeight="1">
      <c r="A639" s="93"/>
      <c r="B639" s="93"/>
      <c r="C639" s="94"/>
      <c r="D639" s="95"/>
      <c r="E639" s="95"/>
      <c r="F639" s="95"/>
      <c r="G639" s="95">
        <f>ROUND(E639*F639,2)</f>
        <v>0</v>
      </c>
      <c r="H639" s="96">
        <v>0</v>
      </c>
    </row>
    <row r="640" spans="1:8" s="69" customFormat="1" ht="15.95" hidden="1" customHeight="1">
      <c r="A640" s="93"/>
      <c r="B640" s="93"/>
      <c r="C640" s="94"/>
      <c r="D640" s="95"/>
      <c r="E640" s="95"/>
      <c r="F640" s="95"/>
      <c r="G640" s="95">
        <f>ROUND(E640*F640,2)</f>
        <v>0</v>
      </c>
      <c r="H640" s="96">
        <v>0</v>
      </c>
    </row>
    <row r="641" spans="1:8" s="69" customFormat="1" ht="15.95" hidden="1" customHeight="1">
      <c r="A641" s="90" t="s">
        <v>280</v>
      </c>
      <c r="B641" s="90" t="s">
        <v>280</v>
      </c>
      <c r="C641" s="91" t="s">
        <v>281</v>
      </c>
      <c r="D641" s="82"/>
      <c r="E641" s="82"/>
      <c r="F641" s="82"/>
      <c r="G641" s="82">
        <f>SUM(G642:G644)</f>
        <v>0</v>
      </c>
      <c r="H641" s="97"/>
    </row>
    <row r="642" spans="1:8" s="69" customFormat="1" ht="15.95" hidden="1" customHeight="1">
      <c r="A642" s="93"/>
      <c r="B642" s="93"/>
      <c r="C642" s="94"/>
      <c r="D642" s="95"/>
      <c r="E642" s="95"/>
      <c r="F642" s="95"/>
      <c r="G642" s="95">
        <f>ROUND(E642*F642,2)</f>
        <v>0</v>
      </c>
      <c r="H642" s="96">
        <v>0</v>
      </c>
    </row>
    <row r="643" spans="1:8" s="69" customFormat="1" ht="15.95" hidden="1" customHeight="1">
      <c r="A643" s="93"/>
      <c r="B643" s="93"/>
      <c r="C643" s="94"/>
      <c r="D643" s="95"/>
      <c r="E643" s="95"/>
      <c r="F643" s="95"/>
      <c r="G643" s="95">
        <f>ROUND(E643*F643,2)</f>
        <v>0</v>
      </c>
      <c r="H643" s="96">
        <v>0</v>
      </c>
    </row>
    <row r="644" spans="1:8" s="69" customFormat="1" ht="15.95" hidden="1" customHeight="1">
      <c r="A644" s="93"/>
      <c r="B644" s="93"/>
      <c r="C644" s="94"/>
      <c r="D644" s="95"/>
      <c r="E644" s="95"/>
      <c r="F644" s="95"/>
      <c r="G644" s="95">
        <f>ROUND(E644*F644,2)</f>
        <v>0</v>
      </c>
      <c r="H644" s="96">
        <v>0</v>
      </c>
    </row>
    <row r="645" spans="1:8" s="69" customFormat="1" ht="15.95" hidden="1" customHeight="1">
      <c r="A645" s="90" t="s">
        <v>282</v>
      </c>
      <c r="B645" s="90" t="s">
        <v>282</v>
      </c>
      <c r="C645" s="91" t="s">
        <v>283</v>
      </c>
      <c r="D645" s="82"/>
      <c r="E645" s="82"/>
      <c r="F645" s="82"/>
      <c r="G645" s="82">
        <f>SUM(G646:G648)</f>
        <v>0</v>
      </c>
      <c r="H645" s="97"/>
    </row>
    <row r="646" spans="1:8" s="69" customFormat="1" ht="15.95" hidden="1" customHeight="1">
      <c r="A646" s="93"/>
      <c r="B646" s="93"/>
      <c r="C646" s="94"/>
      <c r="D646" s="95"/>
      <c r="E646" s="95"/>
      <c r="F646" s="95"/>
      <c r="G646" s="95">
        <f>ROUND(E646*F646,2)</f>
        <v>0</v>
      </c>
      <c r="H646" s="96">
        <v>0</v>
      </c>
    </row>
    <row r="647" spans="1:8" s="69" customFormat="1" ht="15.95" hidden="1" customHeight="1">
      <c r="A647" s="93"/>
      <c r="B647" s="93"/>
      <c r="C647" s="94"/>
      <c r="D647" s="95"/>
      <c r="E647" s="95"/>
      <c r="F647" s="95"/>
      <c r="G647" s="95">
        <f>ROUND(E647*F647,2)</f>
        <v>0</v>
      </c>
      <c r="H647" s="96">
        <v>0</v>
      </c>
    </row>
    <row r="648" spans="1:8" s="69" customFormat="1" ht="15.95" hidden="1" customHeight="1">
      <c r="A648" s="93"/>
      <c r="B648" s="93"/>
      <c r="C648" s="94"/>
      <c r="D648" s="95"/>
      <c r="E648" s="95"/>
      <c r="F648" s="95"/>
      <c r="G648" s="95">
        <f>ROUND(E648*F648,2)</f>
        <v>0</v>
      </c>
      <c r="H648" s="96">
        <v>0</v>
      </c>
    </row>
    <row r="649" spans="1:8" s="69" customFormat="1" ht="15.95" hidden="1" customHeight="1">
      <c r="A649" s="90" t="s">
        <v>284</v>
      </c>
      <c r="B649" s="90" t="s">
        <v>284</v>
      </c>
      <c r="C649" s="91" t="s">
        <v>285</v>
      </c>
      <c r="D649" s="82"/>
      <c r="E649" s="82"/>
      <c r="F649" s="82"/>
      <c r="G649" s="82">
        <f>SUM(G650:G652)</f>
        <v>0</v>
      </c>
      <c r="H649" s="97"/>
    </row>
    <row r="650" spans="1:8" s="69" customFormat="1" ht="15.95" hidden="1" customHeight="1">
      <c r="A650" s="93"/>
      <c r="B650" s="93"/>
      <c r="C650" s="94"/>
      <c r="D650" s="95"/>
      <c r="E650" s="95"/>
      <c r="F650" s="95"/>
      <c r="G650" s="95">
        <f>ROUND(E650*F650,2)</f>
        <v>0</v>
      </c>
      <c r="H650" s="96">
        <v>0</v>
      </c>
    </row>
    <row r="651" spans="1:8" s="69" customFormat="1" ht="15.95" hidden="1" customHeight="1">
      <c r="A651" s="93"/>
      <c r="B651" s="93"/>
      <c r="C651" s="94"/>
      <c r="D651" s="95"/>
      <c r="E651" s="95"/>
      <c r="F651" s="95"/>
      <c r="G651" s="95">
        <f>ROUND(E651*F651,2)</f>
        <v>0</v>
      </c>
      <c r="H651" s="96">
        <v>0</v>
      </c>
    </row>
    <row r="652" spans="1:8" s="69" customFormat="1" ht="15.95" hidden="1" customHeight="1">
      <c r="A652" s="93"/>
      <c r="B652" s="93"/>
      <c r="C652" s="94"/>
      <c r="D652" s="95"/>
      <c r="E652" s="95"/>
      <c r="F652" s="95"/>
      <c r="G652" s="95">
        <f>ROUND(E652*F652,2)</f>
        <v>0</v>
      </c>
      <c r="H652" s="96">
        <v>0</v>
      </c>
    </row>
    <row r="653" spans="1:8" s="69" customFormat="1" ht="15.95" hidden="1" customHeight="1">
      <c r="A653" s="83"/>
      <c r="B653" s="83"/>
      <c r="C653" s="84" t="s">
        <v>286</v>
      </c>
      <c r="D653" s="85"/>
      <c r="E653" s="85"/>
      <c r="F653" s="85"/>
      <c r="G653" s="85"/>
      <c r="H653" s="97"/>
    </row>
    <row r="654" spans="1:8" s="69" customFormat="1" ht="15.95" hidden="1" customHeight="1">
      <c r="A654" s="87" t="s">
        <v>287</v>
      </c>
      <c r="B654" s="87" t="s">
        <v>287</v>
      </c>
      <c r="C654" s="88" t="s">
        <v>288</v>
      </c>
      <c r="D654" s="89"/>
      <c r="E654" s="89"/>
      <c r="F654" s="89"/>
      <c r="G654" s="89">
        <f>SG_08_01+SG_08_02+SG_08_03+SG_08_04+SG_08_05+SG_08_06+SG_08_07+SG_08_08+SG_08_09+SG_08_10+SG_08_11+SG_08_12+SG_08_13+SG_08_14+SG_08_15+SG_08_16+SG_08_17+SG_08_18+SG_08_19+SG_08_20</f>
        <v>0</v>
      </c>
      <c r="H654" s="97"/>
    </row>
    <row r="655" spans="1:8" s="69" customFormat="1" ht="15.95" hidden="1" customHeight="1">
      <c r="A655" s="90" t="s">
        <v>289</v>
      </c>
      <c r="B655" s="90" t="s">
        <v>289</v>
      </c>
      <c r="C655" s="91" t="s">
        <v>290</v>
      </c>
      <c r="D655" s="82"/>
      <c r="E655" s="82"/>
      <c r="F655" s="82"/>
      <c r="G655" s="82">
        <f>SUM(G656:G658)</f>
        <v>0</v>
      </c>
      <c r="H655" s="97"/>
    </row>
    <row r="656" spans="1:8" s="69" customFormat="1" ht="15.95" hidden="1" customHeight="1">
      <c r="A656" s="93"/>
      <c r="B656" s="93"/>
      <c r="C656" s="94"/>
      <c r="D656" s="95"/>
      <c r="E656" s="95"/>
      <c r="F656" s="95"/>
      <c r="G656" s="95">
        <f>ROUND(E656*F656,2)</f>
        <v>0</v>
      </c>
      <c r="H656" s="97">
        <v>0</v>
      </c>
    </row>
    <row r="657" spans="1:8" s="69" customFormat="1" ht="15.95" hidden="1" customHeight="1">
      <c r="A657" s="93"/>
      <c r="B657" s="93"/>
      <c r="C657" s="94"/>
      <c r="D657" s="95"/>
      <c r="E657" s="95"/>
      <c r="F657" s="95"/>
      <c r="G657" s="95">
        <f>ROUND(E657*F657,2)</f>
        <v>0</v>
      </c>
      <c r="H657" s="97">
        <v>0</v>
      </c>
    </row>
    <row r="658" spans="1:8" s="69" customFormat="1" ht="15.95" hidden="1" customHeight="1">
      <c r="A658" s="93"/>
      <c r="B658" s="93"/>
      <c r="C658" s="94"/>
      <c r="D658" s="95"/>
      <c r="E658" s="95"/>
      <c r="F658" s="95"/>
      <c r="G658" s="95">
        <f>ROUND(E658*F658,2)</f>
        <v>0</v>
      </c>
      <c r="H658" s="97">
        <v>0</v>
      </c>
    </row>
    <row r="659" spans="1:8" s="69" customFormat="1" ht="15.95" hidden="1" customHeight="1">
      <c r="A659" s="90" t="s">
        <v>291</v>
      </c>
      <c r="B659" s="90" t="s">
        <v>291</v>
      </c>
      <c r="C659" s="91" t="s">
        <v>292</v>
      </c>
      <c r="D659" s="82"/>
      <c r="E659" s="82"/>
      <c r="F659" s="82"/>
      <c r="G659" s="82">
        <f>SUM(G660:G662)</f>
        <v>0</v>
      </c>
      <c r="H659" s="97"/>
    </row>
    <row r="660" spans="1:8" s="69" customFormat="1" ht="15.95" hidden="1" customHeight="1">
      <c r="A660" s="93"/>
      <c r="B660" s="93"/>
      <c r="C660" s="94"/>
      <c r="D660" s="95"/>
      <c r="E660" s="95"/>
      <c r="F660" s="95"/>
      <c r="G660" s="95">
        <f>ROUND(E660*F660,2)</f>
        <v>0</v>
      </c>
      <c r="H660" s="97">
        <v>0</v>
      </c>
    </row>
    <row r="661" spans="1:8" s="69" customFormat="1" ht="15.95" hidden="1" customHeight="1">
      <c r="A661" s="93"/>
      <c r="B661" s="93"/>
      <c r="C661" s="94"/>
      <c r="D661" s="95"/>
      <c r="E661" s="95"/>
      <c r="F661" s="95"/>
      <c r="G661" s="95">
        <f>ROUND(E661*F661,2)</f>
        <v>0</v>
      </c>
      <c r="H661" s="97">
        <v>0</v>
      </c>
    </row>
    <row r="662" spans="1:8" s="69" customFormat="1" ht="15.95" hidden="1" customHeight="1">
      <c r="A662" s="93"/>
      <c r="B662" s="93"/>
      <c r="C662" s="94"/>
      <c r="D662" s="95"/>
      <c r="E662" s="95"/>
      <c r="F662" s="95"/>
      <c r="G662" s="95">
        <f>ROUND(E662*F662,2)</f>
        <v>0</v>
      </c>
      <c r="H662" s="97">
        <v>0</v>
      </c>
    </row>
    <row r="663" spans="1:8" s="69" customFormat="1" ht="15.95" hidden="1" customHeight="1">
      <c r="A663" s="90" t="s">
        <v>293</v>
      </c>
      <c r="B663" s="90" t="s">
        <v>293</v>
      </c>
      <c r="C663" s="91" t="s">
        <v>294</v>
      </c>
      <c r="D663" s="82"/>
      <c r="E663" s="82"/>
      <c r="F663" s="82"/>
      <c r="G663" s="82">
        <f>SUM(G664:G666)</f>
        <v>0</v>
      </c>
      <c r="H663" s="97"/>
    </row>
    <row r="664" spans="1:8" s="69" customFormat="1" ht="15.95" hidden="1" customHeight="1">
      <c r="A664" s="93"/>
      <c r="B664" s="93"/>
      <c r="C664" s="94"/>
      <c r="D664" s="95"/>
      <c r="E664" s="95"/>
      <c r="F664" s="95"/>
      <c r="G664" s="95">
        <f>ROUND(E664*F664,2)</f>
        <v>0</v>
      </c>
      <c r="H664" s="97">
        <v>0</v>
      </c>
    </row>
    <row r="665" spans="1:8" s="69" customFormat="1" ht="15.95" hidden="1" customHeight="1">
      <c r="A665" s="93"/>
      <c r="B665" s="93"/>
      <c r="C665" s="94"/>
      <c r="D665" s="95"/>
      <c r="E665" s="95"/>
      <c r="F665" s="95"/>
      <c r="G665" s="95">
        <f>ROUND(E665*F665,2)</f>
        <v>0</v>
      </c>
      <c r="H665" s="97">
        <v>0</v>
      </c>
    </row>
    <row r="666" spans="1:8" s="69" customFormat="1" ht="15.95" hidden="1" customHeight="1">
      <c r="A666" s="93"/>
      <c r="B666" s="93"/>
      <c r="C666" s="94"/>
      <c r="D666" s="95"/>
      <c r="E666" s="95"/>
      <c r="F666" s="95"/>
      <c r="G666" s="95">
        <f>ROUND(E666*F666,2)</f>
        <v>0</v>
      </c>
      <c r="H666" s="97">
        <v>0</v>
      </c>
    </row>
    <row r="667" spans="1:8" s="69" customFormat="1" ht="15.95" hidden="1" customHeight="1">
      <c r="A667" s="90" t="s">
        <v>295</v>
      </c>
      <c r="B667" s="90" t="s">
        <v>295</v>
      </c>
      <c r="C667" s="91" t="s">
        <v>296</v>
      </c>
      <c r="D667" s="82"/>
      <c r="E667" s="82"/>
      <c r="F667" s="82"/>
      <c r="G667" s="82">
        <f>SUM(G668:G670)</f>
        <v>0</v>
      </c>
      <c r="H667" s="97"/>
    </row>
    <row r="668" spans="1:8" s="69" customFormat="1" ht="15.95" hidden="1" customHeight="1">
      <c r="A668" s="93"/>
      <c r="B668" s="93"/>
      <c r="C668" s="94"/>
      <c r="D668" s="95"/>
      <c r="E668" s="95"/>
      <c r="F668" s="95"/>
      <c r="G668" s="95">
        <f>ROUND(E668*F668,2)</f>
        <v>0</v>
      </c>
      <c r="H668" s="97">
        <v>0</v>
      </c>
    </row>
    <row r="669" spans="1:8" s="69" customFormat="1" ht="15.95" hidden="1" customHeight="1">
      <c r="A669" s="93"/>
      <c r="B669" s="93"/>
      <c r="C669" s="94"/>
      <c r="D669" s="95"/>
      <c r="E669" s="95"/>
      <c r="F669" s="95"/>
      <c r="G669" s="95">
        <f>ROUND(E669*F669,2)</f>
        <v>0</v>
      </c>
      <c r="H669" s="97">
        <v>0</v>
      </c>
    </row>
    <row r="670" spans="1:8" s="69" customFormat="1" ht="15.95" hidden="1" customHeight="1">
      <c r="A670" s="93"/>
      <c r="B670" s="93"/>
      <c r="C670" s="94"/>
      <c r="D670" s="95"/>
      <c r="E670" s="95"/>
      <c r="F670" s="95"/>
      <c r="G670" s="95">
        <f>ROUND(E670*F670,2)</f>
        <v>0</v>
      </c>
      <c r="H670" s="97">
        <v>0</v>
      </c>
    </row>
    <row r="671" spans="1:8" s="69" customFormat="1" ht="15.95" hidden="1" customHeight="1">
      <c r="A671" s="90" t="s">
        <v>297</v>
      </c>
      <c r="B671" s="90" t="s">
        <v>297</v>
      </c>
      <c r="C671" s="91" t="s">
        <v>298</v>
      </c>
      <c r="D671" s="82"/>
      <c r="E671" s="82"/>
      <c r="F671" s="82"/>
      <c r="G671" s="82">
        <f>SUM(G672:G674)</f>
        <v>0</v>
      </c>
      <c r="H671" s="97"/>
    </row>
    <row r="672" spans="1:8" s="69" customFormat="1" ht="15.95" hidden="1" customHeight="1">
      <c r="A672" s="93"/>
      <c r="B672" s="93"/>
      <c r="C672" s="94"/>
      <c r="D672" s="95"/>
      <c r="E672" s="95"/>
      <c r="F672" s="95"/>
      <c r="G672" s="95">
        <f>ROUND(E672*F672,2)</f>
        <v>0</v>
      </c>
      <c r="H672" s="97">
        <v>0</v>
      </c>
    </row>
    <row r="673" spans="1:8" s="69" customFormat="1" ht="15.95" hidden="1" customHeight="1">
      <c r="A673" s="93"/>
      <c r="B673" s="93"/>
      <c r="C673" s="94"/>
      <c r="D673" s="95"/>
      <c r="E673" s="95"/>
      <c r="F673" s="95"/>
      <c r="G673" s="95">
        <f>ROUND(E673*F673,2)</f>
        <v>0</v>
      </c>
      <c r="H673" s="97">
        <v>0</v>
      </c>
    </row>
    <row r="674" spans="1:8" s="69" customFormat="1" ht="15.95" hidden="1" customHeight="1">
      <c r="A674" s="93"/>
      <c r="B674" s="93"/>
      <c r="C674" s="94"/>
      <c r="D674" s="95"/>
      <c r="E674" s="95"/>
      <c r="F674" s="95"/>
      <c r="G674" s="95">
        <f>ROUND(E674*F674,2)</f>
        <v>0</v>
      </c>
      <c r="H674" s="97">
        <v>0</v>
      </c>
    </row>
    <row r="675" spans="1:8" s="69" customFormat="1" ht="15.95" hidden="1" customHeight="1">
      <c r="A675" s="90" t="s">
        <v>299</v>
      </c>
      <c r="B675" s="90" t="s">
        <v>299</v>
      </c>
      <c r="C675" s="91" t="s">
        <v>300</v>
      </c>
      <c r="D675" s="82"/>
      <c r="E675" s="82"/>
      <c r="F675" s="82"/>
      <c r="G675" s="82">
        <f>SUM(G676:G678)</f>
        <v>0</v>
      </c>
      <c r="H675" s="97"/>
    </row>
    <row r="676" spans="1:8" s="69" customFormat="1" ht="15.95" hidden="1" customHeight="1">
      <c r="A676" s="93"/>
      <c r="B676" s="93"/>
      <c r="C676" s="94"/>
      <c r="D676" s="95"/>
      <c r="E676" s="95"/>
      <c r="F676" s="95"/>
      <c r="G676" s="95">
        <f>ROUND(E676*F676,2)</f>
        <v>0</v>
      </c>
      <c r="H676" s="97">
        <v>0</v>
      </c>
    </row>
    <row r="677" spans="1:8" s="69" customFormat="1" ht="15.95" hidden="1" customHeight="1">
      <c r="A677" s="93"/>
      <c r="B677" s="93"/>
      <c r="C677" s="94"/>
      <c r="D677" s="95"/>
      <c r="E677" s="95"/>
      <c r="F677" s="95"/>
      <c r="G677" s="95">
        <f>ROUND(E677*F677,2)</f>
        <v>0</v>
      </c>
      <c r="H677" s="97">
        <v>0</v>
      </c>
    </row>
    <row r="678" spans="1:8" s="69" customFormat="1" ht="15.95" hidden="1" customHeight="1">
      <c r="A678" s="93"/>
      <c r="B678" s="93"/>
      <c r="C678" s="94"/>
      <c r="D678" s="95"/>
      <c r="E678" s="95"/>
      <c r="F678" s="95"/>
      <c r="G678" s="95">
        <f>ROUND(E678*F678,2)</f>
        <v>0</v>
      </c>
      <c r="H678" s="97">
        <v>0</v>
      </c>
    </row>
    <row r="679" spans="1:8" s="69" customFormat="1" ht="15.95" hidden="1" customHeight="1">
      <c r="A679" s="90" t="s">
        <v>301</v>
      </c>
      <c r="B679" s="90" t="s">
        <v>301</v>
      </c>
      <c r="C679" s="91" t="s">
        <v>302</v>
      </c>
      <c r="D679" s="82"/>
      <c r="E679" s="82"/>
      <c r="F679" s="82"/>
      <c r="G679" s="82">
        <f>SUM(G680:G682)</f>
        <v>0</v>
      </c>
      <c r="H679" s="97"/>
    </row>
    <row r="680" spans="1:8" s="69" customFormat="1" ht="15.95" hidden="1" customHeight="1">
      <c r="A680" s="93"/>
      <c r="B680" s="93"/>
      <c r="C680" s="94"/>
      <c r="D680" s="95"/>
      <c r="E680" s="95"/>
      <c r="F680" s="95"/>
      <c r="G680" s="95">
        <f>ROUND(E680*F680,2)</f>
        <v>0</v>
      </c>
      <c r="H680" s="97">
        <v>0</v>
      </c>
    </row>
    <row r="681" spans="1:8" s="69" customFormat="1" ht="15.95" hidden="1" customHeight="1">
      <c r="A681" s="93"/>
      <c r="B681" s="93"/>
      <c r="C681" s="94"/>
      <c r="D681" s="95"/>
      <c r="E681" s="95"/>
      <c r="F681" s="95"/>
      <c r="G681" s="95">
        <f>ROUND(E681*F681,2)</f>
        <v>0</v>
      </c>
      <c r="H681" s="97">
        <v>0</v>
      </c>
    </row>
    <row r="682" spans="1:8" s="69" customFormat="1" ht="15.95" hidden="1" customHeight="1">
      <c r="A682" s="93"/>
      <c r="B682" s="93"/>
      <c r="C682" s="94"/>
      <c r="D682" s="95"/>
      <c r="E682" s="95"/>
      <c r="F682" s="95"/>
      <c r="G682" s="95">
        <f>ROUND(E682*F682,2)</f>
        <v>0</v>
      </c>
      <c r="H682" s="97">
        <v>0</v>
      </c>
    </row>
    <row r="683" spans="1:8" s="69" customFormat="1" ht="15.95" hidden="1" customHeight="1">
      <c r="A683" s="90" t="s">
        <v>303</v>
      </c>
      <c r="B683" s="90" t="s">
        <v>303</v>
      </c>
      <c r="C683" s="91" t="s">
        <v>304</v>
      </c>
      <c r="D683" s="82"/>
      <c r="E683" s="82"/>
      <c r="F683" s="82"/>
      <c r="G683" s="82">
        <f>SUM(G684:G686)</f>
        <v>0</v>
      </c>
      <c r="H683" s="97"/>
    </row>
    <row r="684" spans="1:8" s="69" customFormat="1" ht="15.95" hidden="1" customHeight="1">
      <c r="A684" s="93"/>
      <c r="B684" s="93"/>
      <c r="C684" s="94"/>
      <c r="D684" s="95"/>
      <c r="E684" s="95"/>
      <c r="F684" s="95"/>
      <c r="G684" s="95">
        <f>ROUND(E684*F684,2)</f>
        <v>0</v>
      </c>
      <c r="H684" s="97">
        <v>0</v>
      </c>
    </row>
    <row r="685" spans="1:8" s="69" customFormat="1" ht="15.95" hidden="1" customHeight="1">
      <c r="A685" s="93"/>
      <c r="B685" s="93"/>
      <c r="C685" s="94"/>
      <c r="D685" s="95"/>
      <c r="E685" s="95"/>
      <c r="F685" s="95"/>
      <c r="G685" s="95">
        <f>ROUND(E685*F685,2)</f>
        <v>0</v>
      </c>
      <c r="H685" s="97">
        <v>0</v>
      </c>
    </row>
    <row r="686" spans="1:8" s="69" customFormat="1" ht="15.95" hidden="1" customHeight="1">
      <c r="A686" s="93"/>
      <c r="B686" s="93"/>
      <c r="C686" s="94"/>
      <c r="D686" s="95"/>
      <c r="E686" s="95"/>
      <c r="F686" s="95"/>
      <c r="G686" s="95">
        <f>ROUND(E686*F686,2)</f>
        <v>0</v>
      </c>
      <c r="H686" s="97">
        <v>0</v>
      </c>
    </row>
    <row r="687" spans="1:8" s="69" customFormat="1" ht="15.95" hidden="1" customHeight="1">
      <c r="A687" s="90" t="s">
        <v>305</v>
      </c>
      <c r="B687" s="90" t="s">
        <v>305</v>
      </c>
      <c r="C687" s="91" t="s">
        <v>306</v>
      </c>
      <c r="D687" s="82"/>
      <c r="E687" s="82"/>
      <c r="F687" s="82"/>
      <c r="G687" s="82">
        <f>SUM(G688:G690)</f>
        <v>0</v>
      </c>
      <c r="H687" s="97"/>
    </row>
    <row r="688" spans="1:8" s="69" customFormat="1" ht="15.95" hidden="1" customHeight="1">
      <c r="A688" s="93"/>
      <c r="B688" s="93"/>
      <c r="C688" s="94"/>
      <c r="D688" s="95"/>
      <c r="E688" s="95"/>
      <c r="F688" s="95"/>
      <c r="G688" s="95">
        <f>ROUND(E688*F688,2)</f>
        <v>0</v>
      </c>
      <c r="H688" s="97">
        <v>0</v>
      </c>
    </row>
    <row r="689" spans="1:8" s="69" customFormat="1" ht="15.95" hidden="1" customHeight="1">
      <c r="A689" s="93"/>
      <c r="B689" s="93"/>
      <c r="C689" s="94"/>
      <c r="D689" s="95"/>
      <c r="E689" s="95"/>
      <c r="F689" s="95"/>
      <c r="G689" s="95">
        <f>ROUND(E689*F689,2)</f>
        <v>0</v>
      </c>
      <c r="H689" s="97">
        <v>0</v>
      </c>
    </row>
    <row r="690" spans="1:8" s="69" customFormat="1" ht="15.95" hidden="1" customHeight="1">
      <c r="A690" s="93"/>
      <c r="B690" s="93"/>
      <c r="C690" s="94"/>
      <c r="D690" s="95"/>
      <c r="E690" s="95"/>
      <c r="F690" s="95"/>
      <c r="G690" s="95">
        <f>ROUND(E690*F690,2)</f>
        <v>0</v>
      </c>
      <c r="H690" s="97">
        <v>0</v>
      </c>
    </row>
    <row r="691" spans="1:8" s="69" customFormat="1" ht="15.95" hidden="1" customHeight="1">
      <c r="A691" s="90" t="s">
        <v>307</v>
      </c>
      <c r="B691" s="90" t="s">
        <v>307</v>
      </c>
      <c r="C691" s="91" t="s">
        <v>308</v>
      </c>
      <c r="D691" s="82"/>
      <c r="E691" s="82"/>
      <c r="F691" s="82"/>
      <c r="G691" s="82">
        <f>SUM(G692:G694)</f>
        <v>0</v>
      </c>
      <c r="H691" s="97"/>
    </row>
    <row r="692" spans="1:8" s="69" customFormat="1" ht="15.95" hidden="1" customHeight="1">
      <c r="A692" s="93"/>
      <c r="B692" s="93"/>
      <c r="C692" s="94"/>
      <c r="D692" s="95"/>
      <c r="E692" s="95"/>
      <c r="F692" s="95"/>
      <c r="G692" s="95">
        <f>ROUND(E692*F692,2)</f>
        <v>0</v>
      </c>
      <c r="H692" s="97">
        <v>0</v>
      </c>
    </row>
    <row r="693" spans="1:8" s="69" customFormat="1" ht="15.95" hidden="1" customHeight="1">
      <c r="A693" s="93"/>
      <c r="B693" s="93"/>
      <c r="C693" s="94"/>
      <c r="D693" s="95"/>
      <c r="E693" s="95"/>
      <c r="F693" s="95"/>
      <c r="G693" s="95">
        <f>ROUND(E693*F693,2)</f>
        <v>0</v>
      </c>
      <c r="H693" s="97">
        <v>0</v>
      </c>
    </row>
    <row r="694" spans="1:8" s="69" customFormat="1" ht="15.95" hidden="1" customHeight="1">
      <c r="A694" s="93"/>
      <c r="B694" s="93"/>
      <c r="C694" s="94"/>
      <c r="D694" s="95"/>
      <c r="E694" s="95"/>
      <c r="F694" s="95"/>
      <c r="G694" s="95">
        <f>ROUND(E694*F694,2)</f>
        <v>0</v>
      </c>
      <c r="H694" s="97">
        <v>0</v>
      </c>
    </row>
    <row r="695" spans="1:8" s="69" customFormat="1" ht="15.95" hidden="1" customHeight="1">
      <c r="A695" s="90" t="s">
        <v>309</v>
      </c>
      <c r="B695" s="90" t="s">
        <v>309</v>
      </c>
      <c r="C695" s="91" t="s">
        <v>310</v>
      </c>
      <c r="D695" s="82"/>
      <c r="E695" s="82"/>
      <c r="F695" s="82"/>
      <c r="G695" s="82">
        <f>SUM(G696:G698)</f>
        <v>0</v>
      </c>
      <c r="H695" s="97"/>
    </row>
    <row r="696" spans="1:8" s="69" customFormat="1" ht="15.95" hidden="1" customHeight="1">
      <c r="A696" s="93"/>
      <c r="B696" s="93"/>
      <c r="C696" s="94"/>
      <c r="D696" s="95"/>
      <c r="E696" s="95"/>
      <c r="F696" s="95"/>
      <c r="G696" s="95">
        <f>ROUND(E696*F696,2)</f>
        <v>0</v>
      </c>
      <c r="H696" s="97">
        <v>0</v>
      </c>
    </row>
    <row r="697" spans="1:8" s="69" customFormat="1" ht="15.95" hidden="1" customHeight="1">
      <c r="A697" s="93"/>
      <c r="B697" s="93"/>
      <c r="C697" s="94"/>
      <c r="D697" s="95"/>
      <c r="E697" s="95"/>
      <c r="F697" s="95"/>
      <c r="G697" s="95">
        <f>ROUND(E697*F697,2)</f>
        <v>0</v>
      </c>
      <c r="H697" s="97">
        <v>0</v>
      </c>
    </row>
    <row r="698" spans="1:8" s="69" customFormat="1" ht="15.95" hidden="1" customHeight="1">
      <c r="A698" s="93"/>
      <c r="B698" s="93"/>
      <c r="C698" s="94"/>
      <c r="D698" s="95"/>
      <c r="E698" s="95"/>
      <c r="F698" s="95"/>
      <c r="G698" s="95">
        <f>ROUND(E698*F698,2)</f>
        <v>0</v>
      </c>
      <c r="H698" s="97">
        <v>0</v>
      </c>
    </row>
    <row r="699" spans="1:8" s="69" customFormat="1" ht="15.95" hidden="1" customHeight="1">
      <c r="A699" s="90" t="s">
        <v>311</v>
      </c>
      <c r="B699" s="90" t="s">
        <v>311</v>
      </c>
      <c r="C699" s="91" t="s">
        <v>312</v>
      </c>
      <c r="D699" s="82"/>
      <c r="E699" s="82"/>
      <c r="F699" s="82"/>
      <c r="G699" s="82">
        <f>SUM(G700:G702)</f>
        <v>0</v>
      </c>
      <c r="H699" s="97"/>
    </row>
    <row r="700" spans="1:8" s="69" customFormat="1" ht="15.95" hidden="1" customHeight="1">
      <c r="A700" s="93"/>
      <c r="B700" s="93"/>
      <c r="C700" s="94"/>
      <c r="D700" s="95"/>
      <c r="E700" s="95"/>
      <c r="F700" s="95"/>
      <c r="G700" s="95">
        <f>ROUND(E700*F700,2)</f>
        <v>0</v>
      </c>
      <c r="H700" s="97">
        <v>0</v>
      </c>
    </row>
    <row r="701" spans="1:8" s="69" customFormat="1" ht="15.95" hidden="1" customHeight="1">
      <c r="A701" s="93"/>
      <c r="B701" s="93"/>
      <c r="C701" s="94"/>
      <c r="D701" s="95"/>
      <c r="E701" s="95"/>
      <c r="F701" s="95"/>
      <c r="G701" s="95">
        <f>ROUND(E701*F701,2)</f>
        <v>0</v>
      </c>
      <c r="H701" s="97">
        <v>0</v>
      </c>
    </row>
    <row r="702" spans="1:8" s="69" customFormat="1" ht="15.95" hidden="1" customHeight="1">
      <c r="A702" s="93"/>
      <c r="B702" s="93"/>
      <c r="C702" s="94"/>
      <c r="D702" s="95"/>
      <c r="E702" s="95"/>
      <c r="F702" s="95"/>
      <c r="G702" s="95">
        <f>ROUND(E702*F702,2)</f>
        <v>0</v>
      </c>
      <c r="H702" s="97">
        <v>0</v>
      </c>
    </row>
    <row r="703" spans="1:8" s="69" customFormat="1" ht="15.95" hidden="1" customHeight="1">
      <c r="A703" s="90" t="s">
        <v>313</v>
      </c>
      <c r="B703" s="90" t="s">
        <v>313</v>
      </c>
      <c r="C703" s="91" t="s">
        <v>314</v>
      </c>
      <c r="D703" s="82"/>
      <c r="E703" s="82"/>
      <c r="F703" s="82"/>
      <c r="G703" s="82">
        <f>SUM(G704:G706)</f>
        <v>0</v>
      </c>
      <c r="H703" s="97"/>
    </row>
    <row r="704" spans="1:8" s="69" customFormat="1" ht="15.95" hidden="1" customHeight="1">
      <c r="A704" s="93"/>
      <c r="B704" s="93"/>
      <c r="C704" s="94"/>
      <c r="D704" s="95"/>
      <c r="E704" s="95"/>
      <c r="F704" s="95"/>
      <c r="G704" s="95">
        <f>ROUND(E704*F704,2)</f>
        <v>0</v>
      </c>
      <c r="H704" s="97">
        <v>0</v>
      </c>
    </row>
    <row r="705" spans="1:8" s="69" customFormat="1" ht="15.95" hidden="1" customHeight="1">
      <c r="A705" s="93"/>
      <c r="B705" s="93"/>
      <c r="C705" s="94"/>
      <c r="D705" s="95"/>
      <c r="E705" s="95"/>
      <c r="F705" s="95"/>
      <c r="G705" s="95">
        <f>ROUND(E705*F705,2)</f>
        <v>0</v>
      </c>
      <c r="H705" s="97">
        <v>0</v>
      </c>
    </row>
    <row r="706" spans="1:8" s="69" customFormat="1" ht="15.95" hidden="1" customHeight="1">
      <c r="A706" s="93"/>
      <c r="B706" s="93"/>
      <c r="C706" s="94"/>
      <c r="D706" s="95"/>
      <c r="E706" s="95"/>
      <c r="F706" s="95"/>
      <c r="G706" s="95">
        <f>ROUND(E706*F706,2)</f>
        <v>0</v>
      </c>
      <c r="H706" s="97">
        <v>0</v>
      </c>
    </row>
    <row r="707" spans="1:8" s="69" customFormat="1" ht="15.95" hidden="1" customHeight="1">
      <c r="A707" s="90" t="s">
        <v>315</v>
      </c>
      <c r="B707" s="90" t="s">
        <v>315</v>
      </c>
      <c r="C707" s="91" t="s">
        <v>316</v>
      </c>
      <c r="D707" s="82"/>
      <c r="E707" s="82"/>
      <c r="F707" s="82"/>
      <c r="G707" s="82">
        <f>SUM(G708:G710)</f>
        <v>0</v>
      </c>
      <c r="H707" s="97"/>
    </row>
    <row r="708" spans="1:8" s="69" customFormat="1" ht="15.95" hidden="1" customHeight="1">
      <c r="A708" s="93"/>
      <c r="B708" s="93"/>
      <c r="C708" s="94"/>
      <c r="D708" s="95"/>
      <c r="E708" s="95"/>
      <c r="F708" s="95"/>
      <c r="G708" s="95">
        <f>ROUND(E708*F708,2)</f>
        <v>0</v>
      </c>
      <c r="H708" s="97">
        <v>0</v>
      </c>
    </row>
    <row r="709" spans="1:8" s="69" customFormat="1" ht="15.95" hidden="1" customHeight="1">
      <c r="A709" s="93"/>
      <c r="B709" s="93"/>
      <c r="C709" s="94"/>
      <c r="D709" s="95"/>
      <c r="E709" s="95"/>
      <c r="F709" s="95"/>
      <c r="G709" s="95">
        <f>ROUND(E709*F709,2)</f>
        <v>0</v>
      </c>
      <c r="H709" s="97">
        <v>0</v>
      </c>
    </row>
    <row r="710" spans="1:8" s="69" customFormat="1" ht="15.95" hidden="1" customHeight="1">
      <c r="A710" s="93"/>
      <c r="B710" s="93"/>
      <c r="C710" s="94"/>
      <c r="D710" s="95"/>
      <c r="E710" s="95"/>
      <c r="F710" s="95"/>
      <c r="G710" s="95">
        <f>ROUND(E710*F710,2)</f>
        <v>0</v>
      </c>
      <c r="H710" s="97">
        <v>0</v>
      </c>
    </row>
    <row r="711" spans="1:8" s="69" customFormat="1" ht="15.95" hidden="1" customHeight="1">
      <c r="A711" s="90" t="s">
        <v>317</v>
      </c>
      <c r="B711" s="90" t="s">
        <v>317</v>
      </c>
      <c r="C711" s="91" t="s">
        <v>318</v>
      </c>
      <c r="D711" s="82"/>
      <c r="E711" s="82"/>
      <c r="F711" s="82"/>
      <c r="G711" s="82">
        <f>SUM(G712:G714)</f>
        <v>0</v>
      </c>
      <c r="H711" s="97"/>
    </row>
    <row r="712" spans="1:8" s="69" customFormat="1" ht="15.95" hidden="1" customHeight="1">
      <c r="A712" s="93"/>
      <c r="B712" s="93"/>
      <c r="C712" s="94"/>
      <c r="D712" s="95"/>
      <c r="E712" s="95"/>
      <c r="F712" s="95"/>
      <c r="G712" s="95">
        <f>ROUND(E712*F712,2)</f>
        <v>0</v>
      </c>
      <c r="H712" s="97">
        <v>0</v>
      </c>
    </row>
    <row r="713" spans="1:8" s="69" customFormat="1" ht="15.95" hidden="1" customHeight="1">
      <c r="A713" s="93"/>
      <c r="B713" s="93"/>
      <c r="C713" s="94"/>
      <c r="D713" s="95"/>
      <c r="E713" s="95"/>
      <c r="F713" s="95"/>
      <c r="G713" s="95">
        <f>ROUND(E713*F713,2)</f>
        <v>0</v>
      </c>
      <c r="H713" s="97">
        <v>0</v>
      </c>
    </row>
    <row r="714" spans="1:8" s="69" customFormat="1" ht="15.95" hidden="1" customHeight="1">
      <c r="A714" s="93"/>
      <c r="B714" s="93"/>
      <c r="C714" s="94"/>
      <c r="D714" s="95"/>
      <c r="E714" s="95"/>
      <c r="F714" s="95"/>
      <c r="G714" s="95">
        <f>ROUND(E714*F714,2)</f>
        <v>0</v>
      </c>
      <c r="H714" s="97">
        <v>0</v>
      </c>
    </row>
    <row r="715" spans="1:8" s="69" customFormat="1" ht="15.95" hidden="1" customHeight="1">
      <c r="A715" s="90" t="s">
        <v>319</v>
      </c>
      <c r="B715" s="90" t="s">
        <v>319</v>
      </c>
      <c r="C715" s="91" t="s">
        <v>320</v>
      </c>
      <c r="D715" s="82"/>
      <c r="E715" s="82"/>
      <c r="F715" s="82"/>
      <c r="G715" s="82">
        <f>SUM(G716:G718)</f>
        <v>0</v>
      </c>
      <c r="H715" s="97"/>
    </row>
    <row r="716" spans="1:8" s="69" customFormat="1" ht="15.95" hidden="1" customHeight="1">
      <c r="A716" s="93"/>
      <c r="B716" s="93"/>
      <c r="C716" s="94"/>
      <c r="D716" s="95"/>
      <c r="E716" s="95"/>
      <c r="F716" s="95"/>
      <c r="G716" s="95">
        <f>ROUND(E716*F716,2)</f>
        <v>0</v>
      </c>
      <c r="H716" s="96">
        <v>0</v>
      </c>
    </row>
    <row r="717" spans="1:8" s="69" customFormat="1" ht="15.95" hidden="1" customHeight="1">
      <c r="A717" s="93"/>
      <c r="B717" s="93"/>
      <c r="C717" s="94"/>
      <c r="D717" s="95"/>
      <c r="E717" s="95"/>
      <c r="F717" s="95"/>
      <c r="G717" s="95">
        <f>ROUND(E717*F717,2)</f>
        <v>0</v>
      </c>
      <c r="H717" s="96">
        <v>0</v>
      </c>
    </row>
    <row r="718" spans="1:8" s="69" customFormat="1" ht="15.95" hidden="1" customHeight="1">
      <c r="A718" s="93"/>
      <c r="B718" s="93"/>
      <c r="C718" s="94"/>
      <c r="D718" s="95"/>
      <c r="E718" s="95"/>
      <c r="F718" s="95"/>
      <c r="G718" s="95">
        <f>ROUND(E718*F718,2)</f>
        <v>0</v>
      </c>
      <c r="H718" s="96">
        <v>0</v>
      </c>
    </row>
    <row r="719" spans="1:8" s="69" customFormat="1" ht="15.95" hidden="1" customHeight="1">
      <c r="A719" s="90" t="s">
        <v>321</v>
      </c>
      <c r="B719" s="90" t="s">
        <v>321</v>
      </c>
      <c r="C719" s="91" t="s">
        <v>322</v>
      </c>
      <c r="D719" s="82"/>
      <c r="E719" s="82"/>
      <c r="F719" s="82"/>
      <c r="G719" s="82">
        <f>SUM(G720:G722)</f>
        <v>0</v>
      </c>
      <c r="H719" s="97"/>
    </row>
    <row r="720" spans="1:8" s="69" customFormat="1" ht="15.95" hidden="1" customHeight="1">
      <c r="A720" s="93"/>
      <c r="B720" s="93"/>
      <c r="C720" s="94"/>
      <c r="D720" s="95"/>
      <c r="E720" s="95"/>
      <c r="F720" s="95"/>
      <c r="G720" s="95">
        <f>ROUND(E720*F720,2)</f>
        <v>0</v>
      </c>
      <c r="H720" s="96">
        <v>0</v>
      </c>
    </row>
    <row r="721" spans="1:8" s="69" customFormat="1" ht="15.95" hidden="1" customHeight="1">
      <c r="A721" s="93"/>
      <c r="B721" s="93"/>
      <c r="C721" s="94"/>
      <c r="D721" s="95"/>
      <c r="E721" s="95"/>
      <c r="F721" s="95"/>
      <c r="G721" s="95">
        <f>ROUND(E721*F721,2)</f>
        <v>0</v>
      </c>
      <c r="H721" s="96">
        <v>0</v>
      </c>
    </row>
    <row r="722" spans="1:8" s="69" customFormat="1" ht="15.95" hidden="1" customHeight="1">
      <c r="A722" s="93"/>
      <c r="B722" s="93"/>
      <c r="C722" s="94"/>
      <c r="D722" s="95"/>
      <c r="E722" s="95"/>
      <c r="F722" s="95"/>
      <c r="G722" s="95">
        <f>ROUND(E722*F722,2)</f>
        <v>0</v>
      </c>
      <c r="H722" s="96">
        <v>0</v>
      </c>
    </row>
    <row r="723" spans="1:8" s="69" customFormat="1" ht="15.95" hidden="1" customHeight="1">
      <c r="A723" s="90" t="s">
        <v>323</v>
      </c>
      <c r="B723" s="90" t="s">
        <v>323</v>
      </c>
      <c r="C723" s="91" t="s">
        <v>324</v>
      </c>
      <c r="D723" s="82"/>
      <c r="E723" s="82"/>
      <c r="F723" s="82"/>
      <c r="G723" s="82">
        <f>SUM(G724:G726)</f>
        <v>0</v>
      </c>
      <c r="H723" s="97"/>
    </row>
    <row r="724" spans="1:8" s="69" customFormat="1" ht="15.95" hidden="1" customHeight="1">
      <c r="A724" s="93"/>
      <c r="B724" s="93"/>
      <c r="C724" s="94"/>
      <c r="D724" s="95"/>
      <c r="E724" s="95"/>
      <c r="F724" s="95"/>
      <c r="G724" s="95">
        <f>ROUND(E724*F724,2)</f>
        <v>0</v>
      </c>
      <c r="H724" s="96">
        <v>0</v>
      </c>
    </row>
    <row r="725" spans="1:8" s="69" customFormat="1" ht="15.95" hidden="1" customHeight="1">
      <c r="A725" s="93"/>
      <c r="B725" s="93"/>
      <c r="C725" s="94"/>
      <c r="D725" s="95"/>
      <c r="E725" s="95"/>
      <c r="F725" s="95"/>
      <c r="G725" s="95">
        <f>ROUND(E725*F725,2)</f>
        <v>0</v>
      </c>
      <c r="H725" s="96">
        <v>0</v>
      </c>
    </row>
    <row r="726" spans="1:8" s="69" customFormat="1" ht="15.95" hidden="1" customHeight="1">
      <c r="A726" s="93"/>
      <c r="B726" s="93"/>
      <c r="C726" s="94"/>
      <c r="D726" s="95"/>
      <c r="E726" s="95"/>
      <c r="F726" s="95"/>
      <c r="G726" s="95">
        <f>ROUND(E726*F726,2)</f>
        <v>0</v>
      </c>
      <c r="H726" s="96">
        <v>0</v>
      </c>
    </row>
    <row r="727" spans="1:8" s="69" customFormat="1" ht="15.95" hidden="1" customHeight="1">
      <c r="A727" s="90" t="s">
        <v>325</v>
      </c>
      <c r="B727" s="90" t="s">
        <v>325</v>
      </c>
      <c r="C727" s="91" t="s">
        <v>326</v>
      </c>
      <c r="D727" s="82"/>
      <c r="E727" s="82"/>
      <c r="F727" s="82"/>
      <c r="G727" s="82">
        <f>SUM(G728:G730)</f>
        <v>0</v>
      </c>
      <c r="H727" s="97"/>
    </row>
    <row r="728" spans="1:8" s="69" customFormat="1" ht="15.95" hidden="1" customHeight="1">
      <c r="A728" s="93"/>
      <c r="B728" s="93"/>
      <c r="C728" s="94"/>
      <c r="D728" s="95"/>
      <c r="E728" s="95"/>
      <c r="F728" s="95"/>
      <c r="G728" s="95">
        <f>ROUND(E728*F728,2)</f>
        <v>0</v>
      </c>
      <c r="H728" s="96">
        <v>0</v>
      </c>
    </row>
    <row r="729" spans="1:8" s="69" customFormat="1" ht="15.95" hidden="1" customHeight="1">
      <c r="A729" s="93"/>
      <c r="B729" s="93"/>
      <c r="C729" s="94"/>
      <c r="D729" s="95"/>
      <c r="E729" s="95"/>
      <c r="F729" s="95"/>
      <c r="G729" s="95">
        <f>ROUND(E729*F729,2)</f>
        <v>0</v>
      </c>
      <c r="H729" s="96">
        <v>0</v>
      </c>
    </row>
    <row r="730" spans="1:8" s="69" customFormat="1" ht="15.95" hidden="1" customHeight="1">
      <c r="A730" s="93"/>
      <c r="B730" s="93"/>
      <c r="C730" s="94"/>
      <c r="D730" s="95"/>
      <c r="E730" s="95"/>
      <c r="F730" s="95"/>
      <c r="G730" s="95">
        <f>ROUND(E730*F730,2)</f>
        <v>0</v>
      </c>
      <c r="H730" s="96">
        <v>0</v>
      </c>
    </row>
    <row r="731" spans="1:8" s="69" customFormat="1" ht="15.95" hidden="1" customHeight="1">
      <c r="A731" s="90" t="s">
        <v>327</v>
      </c>
      <c r="B731" s="90" t="s">
        <v>327</v>
      </c>
      <c r="C731" s="91" t="s">
        <v>328</v>
      </c>
      <c r="D731" s="82"/>
      <c r="E731" s="82"/>
      <c r="F731" s="82"/>
      <c r="G731" s="82">
        <f>SUM(G732:G734)</f>
        <v>0</v>
      </c>
      <c r="H731" s="97"/>
    </row>
    <row r="732" spans="1:8" s="69" customFormat="1" ht="15.95" hidden="1" customHeight="1">
      <c r="A732" s="93"/>
      <c r="B732" s="93"/>
      <c r="C732" s="94"/>
      <c r="D732" s="95"/>
      <c r="E732" s="95"/>
      <c r="F732" s="95"/>
      <c r="G732" s="95">
        <f>ROUND(E732*F732,2)</f>
        <v>0</v>
      </c>
      <c r="H732" s="96">
        <v>0</v>
      </c>
    </row>
    <row r="733" spans="1:8" s="69" customFormat="1" ht="15.95" hidden="1" customHeight="1">
      <c r="A733" s="93"/>
      <c r="B733" s="93"/>
      <c r="C733" s="94"/>
      <c r="D733" s="95"/>
      <c r="E733" s="95"/>
      <c r="F733" s="95"/>
      <c r="G733" s="95">
        <f>ROUND(E733*F733,2)</f>
        <v>0</v>
      </c>
      <c r="H733" s="96">
        <v>0</v>
      </c>
    </row>
    <row r="734" spans="1:8" s="69" customFormat="1" ht="15.95" hidden="1" customHeight="1">
      <c r="A734" s="93"/>
      <c r="B734" s="93"/>
      <c r="C734" s="94"/>
      <c r="D734" s="95"/>
      <c r="E734" s="95"/>
      <c r="F734" s="95"/>
      <c r="G734" s="95">
        <f>ROUND(E734*F734,2)</f>
        <v>0</v>
      </c>
      <c r="H734" s="96">
        <v>0</v>
      </c>
    </row>
    <row r="735" spans="1:8" s="69" customFormat="1" ht="15.95" hidden="1" customHeight="1">
      <c r="A735" s="83"/>
      <c r="B735" s="83"/>
      <c r="C735" s="84" t="s">
        <v>329</v>
      </c>
      <c r="D735" s="85"/>
      <c r="E735" s="85"/>
      <c r="F735" s="85"/>
      <c r="G735" s="85"/>
      <c r="H735" s="97"/>
    </row>
    <row r="736" spans="1:8" s="69" customFormat="1" ht="15.95" hidden="1" customHeight="1">
      <c r="A736" s="87" t="s">
        <v>330</v>
      </c>
      <c r="B736" s="87" t="s">
        <v>330</v>
      </c>
      <c r="C736" s="88" t="s">
        <v>331</v>
      </c>
      <c r="D736" s="89"/>
      <c r="E736" s="89"/>
      <c r="F736" s="89"/>
      <c r="G736" s="89">
        <f>SG_09_01+SG_09_02+SG_09_03+SG_09_04+SG_09_05+SG_09_06+SG_09_07+SG_09_08+SG_09_09+SG_09_10+SG_09_11+SG_09_12+SG_09_13+SG_09_14+SG_09_15+SG_09_16+SG_09_17+SG_09_18+SG_09_19+SG_09_20</f>
        <v>0</v>
      </c>
      <c r="H736" s="97"/>
    </row>
    <row r="737" spans="1:8" s="69" customFormat="1" ht="15.95" hidden="1" customHeight="1">
      <c r="A737" s="90" t="s">
        <v>332</v>
      </c>
      <c r="B737" s="90" t="s">
        <v>332</v>
      </c>
      <c r="C737" s="91" t="s">
        <v>333</v>
      </c>
      <c r="D737" s="82"/>
      <c r="E737" s="82"/>
      <c r="F737" s="82"/>
      <c r="G737" s="82">
        <f>SUM(G738:G740)</f>
        <v>0</v>
      </c>
      <c r="H737" s="97"/>
    </row>
    <row r="738" spans="1:8" s="69" customFormat="1" ht="15.95" hidden="1" customHeight="1">
      <c r="A738" s="93"/>
      <c r="B738" s="93"/>
      <c r="C738" s="94"/>
      <c r="D738" s="95"/>
      <c r="E738" s="95"/>
      <c r="F738" s="95"/>
      <c r="G738" s="95">
        <f>ROUND(E738*F738,2)</f>
        <v>0</v>
      </c>
      <c r="H738" s="97">
        <v>0</v>
      </c>
    </row>
    <row r="739" spans="1:8" s="69" customFormat="1" ht="15.95" hidden="1" customHeight="1">
      <c r="A739" s="93"/>
      <c r="B739" s="93"/>
      <c r="C739" s="94"/>
      <c r="D739" s="95"/>
      <c r="E739" s="95"/>
      <c r="F739" s="95"/>
      <c r="G739" s="95">
        <f>ROUND(E739*F739,2)</f>
        <v>0</v>
      </c>
      <c r="H739" s="97">
        <v>0</v>
      </c>
    </row>
    <row r="740" spans="1:8" s="69" customFormat="1" ht="15.95" hidden="1" customHeight="1">
      <c r="A740" s="93"/>
      <c r="B740" s="93"/>
      <c r="C740" s="94"/>
      <c r="D740" s="95"/>
      <c r="E740" s="95"/>
      <c r="F740" s="95"/>
      <c r="G740" s="95">
        <f>ROUND(E740*F740,2)</f>
        <v>0</v>
      </c>
      <c r="H740" s="97">
        <v>0</v>
      </c>
    </row>
    <row r="741" spans="1:8" s="69" customFormat="1" ht="15.95" hidden="1" customHeight="1">
      <c r="A741" s="90" t="s">
        <v>334</v>
      </c>
      <c r="B741" s="90" t="s">
        <v>334</v>
      </c>
      <c r="C741" s="91" t="s">
        <v>335</v>
      </c>
      <c r="D741" s="82"/>
      <c r="E741" s="82"/>
      <c r="F741" s="82"/>
      <c r="G741" s="82">
        <f>SUM(G742:G744)</f>
        <v>0</v>
      </c>
      <c r="H741" s="97"/>
    </row>
    <row r="742" spans="1:8" s="69" customFormat="1" ht="15.95" hidden="1" customHeight="1">
      <c r="A742" s="93"/>
      <c r="B742" s="93"/>
      <c r="C742" s="94"/>
      <c r="D742" s="95"/>
      <c r="E742" s="95"/>
      <c r="F742" s="95"/>
      <c r="G742" s="95">
        <f>ROUND(E742*F742,2)</f>
        <v>0</v>
      </c>
      <c r="H742" s="97">
        <v>0</v>
      </c>
    </row>
    <row r="743" spans="1:8" s="69" customFormat="1" ht="15.95" hidden="1" customHeight="1">
      <c r="A743" s="93"/>
      <c r="B743" s="93"/>
      <c r="C743" s="94"/>
      <c r="D743" s="95"/>
      <c r="E743" s="95"/>
      <c r="F743" s="95"/>
      <c r="G743" s="95">
        <f>ROUND(E743*F743,2)</f>
        <v>0</v>
      </c>
      <c r="H743" s="97">
        <v>0</v>
      </c>
    </row>
    <row r="744" spans="1:8" s="69" customFormat="1" ht="15.95" hidden="1" customHeight="1">
      <c r="A744" s="93"/>
      <c r="B744" s="93"/>
      <c r="C744" s="94"/>
      <c r="D744" s="95"/>
      <c r="E744" s="95"/>
      <c r="F744" s="95"/>
      <c r="G744" s="95">
        <f>ROUND(E744*F744,2)</f>
        <v>0</v>
      </c>
      <c r="H744" s="97">
        <v>0</v>
      </c>
    </row>
    <row r="745" spans="1:8" s="69" customFormat="1" ht="15.95" hidden="1" customHeight="1">
      <c r="A745" s="90" t="s">
        <v>336</v>
      </c>
      <c r="B745" s="90" t="s">
        <v>336</v>
      </c>
      <c r="C745" s="91" t="s">
        <v>337</v>
      </c>
      <c r="D745" s="82"/>
      <c r="E745" s="82"/>
      <c r="F745" s="82"/>
      <c r="G745" s="82">
        <f>SUM(G746:G748)</f>
        <v>0</v>
      </c>
      <c r="H745" s="97"/>
    </row>
    <row r="746" spans="1:8" s="69" customFormat="1" ht="15.95" hidden="1" customHeight="1">
      <c r="A746" s="93"/>
      <c r="B746" s="93"/>
      <c r="C746" s="94"/>
      <c r="D746" s="95"/>
      <c r="E746" s="95"/>
      <c r="F746" s="95"/>
      <c r="G746" s="95">
        <f>ROUND(E746*F746,2)</f>
        <v>0</v>
      </c>
      <c r="H746" s="97">
        <v>0</v>
      </c>
    </row>
    <row r="747" spans="1:8" s="69" customFormat="1" ht="15.95" hidden="1" customHeight="1">
      <c r="A747" s="93"/>
      <c r="B747" s="93"/>
      <c r="C747" s="94"/>
      <c r="D747" s="95"/>
      <c r="E747" s="95"/>
      <c r="F747" s="95"/>
      <c r="G747" s="95">
        <f>ROUND(E747*F747,2)</f>
        <v>0</v>
      </c>
      <c r="H747" s="97">
        <v>0</v>
      </c>
    </row>
    <row r="748" spans="1:8" s="69" customFormat="1" ht="15.95" hidden="1" customHeight="1">
      <c r="A748" s="93"/>
      <c r="B748" s="93"/>
      <c r="C748" s="94"/>
      <c r="D748" s="95"/>
      <c r="E748" s="95"/>
      <c r="F748" s="95"/>
      <c r="G748" s="95">
        <f>ROUND(E748*F748,2)</f>
        <v>0</v>
      </c>
      <c r="H748" s="97">
        <v>0</v>
      </c>
    </row>
    <row r="749" spans="1:8" s="69" customFormat="1" ht="15.95" hidden="1" customHeight="1">
      <c r="A749" s="90" t="s">
        <v>338</v>
      </c>
      <c r="B749" s="90" t="s">
        <v>338</v>
      </c>
      <c r="C749" s="91" t="s">
        <v>339</v>
      </c>
      <c r="D749" s="82"/>
      <c r="E749" s="82"/>
      <c r="F749" s="82"/>
      <c r="G749" s="82">
        <f>SUM(G750:G752)</f>
        <v>0</v>
      </c>
      <c r="H749" s="97"/>
    </row>
    <row r="750" spans="1:8" s="69" customFormat="1" ht="15.95" hidden="1" customHeight="1">
      <c r="A750" s="93"/>
      <c r="B750" s="93"/>
      <c r="C750" s="94"/>
      <c r="D750" s="95"/>
      <c r="E750" s="95"/>
      <c r="F750" s="95"/>
      <c r="G750" s="95">
        <f>ROUND(E750*F750,2)</f>
        <v>0</v>
      </c>
      <c r="H750" s="97">
        <v>0</v>
      </c>
    </row>
    <row r="751" spans="1:8" s="69" customFormat="1" ht="15.95" hidden="1" customHeight="1">
      <c r="A751" s="93"/>
      <c r="B751" s="93"/>
      <c r="C751" s="94"/>
      <c r="D751" s="95"/>
      <c r="E751" s="95"/>
      <c r="F751" s="95"/>
      <c r="G751" s="95">
        <f>ROUND(E751*F751,2)</f>
        <v>0</v>
      </c>
      <c r="H751" s="97">
        <v>0</v>
      </c>
    </row>
    <row r="752" spans="1:8" s="69" customFormat="1" ht="15.95" hidden="1" customHeight="1">
      <c r="A752" s="93"/>
      <c r="B752" s="93"/>
      <c r="C752" s="94"/>
      <c r="D752" s="95"/>
      <c r="E752" s="95"/>
      <c r="F752" s="95"/>
      <c r="G752" s="95">
        <f>ROUND(E752*F752,2)</f>
        <v>0</v>
      </c>
      <c r="H752" s="97">
        <v>0</v>
      </c>
    </row>
    <row r="753" spans="1:8" s="69" customFormat="1" ht="15.95" hidden="1" customHeight="1">
      <c r="A753" s="90" t="s">
        <v>340</v>
      </c>
      <c r="B753" s="90" t="s">
        <v>340</v>
      </c>
      <c r="C753" s="91" t="s">
        <v>341</v>
      </c>
      <c r="D753" s="82"/>
      <c r="E753" s="82"/>
      <c r="F753" s="82"/>
      <c r="G753" s="82">
        <f>SUM(G754:G756)</f>
        <v>0</v>
      </c>
      <c r="H753" s="97"/>
    </row>
    <row r="754" spans="1:8" s="69" customFormat="1" ht="15.95" hidden="1" customHeight="1">
      <c r="A754" s="93"/>
      <c r="B754" s="93"/>
      <c r="C754" s="94"/>
      <c r="D754" s="95"/>
      <c r="E754" s="95"/>
      <c r="F754" s="95"/>
      <c r="G754" s="95">
        <f>ROUND(E754*F754,2)</f>
        <v>0</v>
      </c>
      <c r="H754" s="97">
        <v>0</v>
      </c>
    </row>
    <row r="755" spans="1:8" s="69" customFormat="1" ht="15.95" hidden="1" customHeight="1">
      <c r="A755" s="93"/>
      <c r="B755" s="93"/>
      <c r="C755" s="94"/>
      <c r="D755" s="95"/>
      <c r="E755" s="95"/>
      <c r="F755" s="95"/>
      <c r="G755" s="95">
        <f>ROUND(E755*F755,2)</f>
        <v>0</v>
      </c>
      <c r="H755" s="97">
        <v>0</v>
      </c>
    </row>
    <row r="756" spans="1:8" s="69" customFormat="1" ht="15.95" hidden="1" customHeight="1">
      <c r="A756" s="93"/>
      <c r="B756" s="93"/>
      <c r="C756" s="94"/>
      <c r="D756" s="95"/>
      <c r="E756" s="95"/>
      <c r="F756" s="95"/>
      <c r="G756" s="95">
        <f>ROUND(E756*F756,2)</f>
        <v>0</v>
      </c>
      <c r="H756" s="97">
        <v>0</v>
      </c>
    </row>
    <row r="757" spans="1:8" s="69" customFormat="1" ht="15.95" hidden="1" customHeight="1">
      <c r="A757" s="90" t="s">
        <v>342</v>
      </c>
      <c r="B757" s="90" t="s">
        <v>342</v>
      </c>
      <c r="C757" s="91" t="s">
        <v>343</v>
      </c>
      <c r="D757" s="82"/>
      <c r="E757" s="82"/>
      <c r="F757" s="82"/>
      <c r="G757" s="82">
        <f>SUM(G758:G760)</f>
        <v>0</v>
      </c>
      <c r="H757" s="97"/>
    </row>
    <row r="758" spans="1:8" s="69" customFormat="1" ht="15.95" hidden="1" customHeight="1">
      <c r="A758" s="93"/>
      <c r="B758" s="93"/>
      <c r="C758" s="94"/>
      <c r="D758" s="95"/>
      <c r="E758" s="95"/>
      <c r="F758" s="95"/>
      <c r="G758" s="95">
        <f>ROUND(E758*F758,2)</f>
        <v>0</v>
      </c>
      <c r="H758" s="97">
        <v>0</v>
      </c>
    </row>
    <row r="759" spans="1:8" s="69" customFormat="1" ht="15.95" hidden="1" customHeight="1">
      <c r="A759" s="93"/>
      <c r="B759" s="93"/>
      <c r="C759" s="94"/>
      <c r="D759" s="95"/>
      <c r="E759" s="95"/>
      <c r="F759" s="95"/>
      <c r="G759" s="95">
        <f>ROUND(E759*F759,2)</f>
        <v>0</v>
      </c>
      <c r="H759" s="97">
        <v>0</v>
      </c>
    </row>
    <row r="760" spans="1:8" s="69" customFormat="1" ht="15.95" hidden="1" customHeight="1">
      <c r="A760" s="93"/>
      <c r="B760" s="93"/>
      <c r="C760" s="94"/>
      <c r="D760" s="95"/>
      <c r="E760" s="95"/>
      <c r="F760" s="95"/>
      <c r="G760" s="95">
        <f>ROUND(E760*F760,2)</f>
        <v>0</v>
      </c>
      <c r="H760" s="97">
        <v>0</v>
      </c>
    </row>
    <row r="761" spans="1:8" s="69" customFormat="1" ht="15.95" hidden="1" customHeight="1">
      <c r="A761" s="90" t="s">
        <v>344</v>
      </c>
      <c r="B761" s="90" t="s">
        <v>344</v>
      </c>
      <c r="C761" s="91" t="s">
        <v>345</v>
      </c>
      <c r="D761" s="82"/>
      <c r="E761" s="82"/>
      <c r="F761" s="82"/>
      <c r="G761" s="82">
        <f>SUM(G762:G764)</f>
        <v>0</v>
      </c>
      <c r="H761" s="97"/>
    </row>
    <row r="762" spans="1:8" s="69" customFormat="1" ht="15.95" hidden="1" customHeight="1">
      <c r="A762" s="93"/>
      <c r="B762" s="93"/>
      <c r="C762" s="94"/>
      <c r="D762" s="95"/>
      <c r="E762" s="95"/>
      <c r="F762" s="95"/>
      <c r="G762" s="95">
        <f>ROUND(E762*F762,2)</f>
        <v>0</v>
      </c>
      <c r="H762" s="97">
        <v>0</v>
      </c>
    </row>
    <row r="763" spans="1:8" s="69" customFormat="1" ht="15.95" hidden="1" customHeight="1">
      <c r="A763" s="93"/>
      <c r="B763" s="93"/>
      <c r="C763" s="94"/>
      <c r="D763" s="95"/>
      <c r="E763" s="95"/>
      <c r="F763" s="95"/>
      <c r="G763" s="95">
        <f>ROUND(E763*F763,2)</f>
        <v>0</v>
      </c>
      <c r="H763" s="97">
        <v>0</v>
      </c>
    </row>
    <row r="764" spans="1:8" s="69" customFormat="1" ht="15.95" hidden="1" customHeight="1">
      <c r="A764" s="93"/>
      <c r="B764" s="93"/>
      <c r="C764" s="94"/>
      <c r="D764" s="95"/>
      <c r="E764" s="95"/>
      <c r="F764" s="95"/>
      <c r="G764" s="95">
        <f>ROUND(E764*F764,2)</f>
        <v>0</v>
      </c>
      <c r="H764" s="97">
        <v>0</v>
      </c>
    </row>
    <row r="765" spans="1:8" s="69" customFormat="1" ht="15.95" hidden="1" customHeight="1">
      <c r="A765" s="90" t="s">
        <v>346</v>
      </c>
      <c r="B765" s="90" t="s">
        <v>346</v>
      </c>
      <c r="C765" s="91" t="s">
        <v>347</v>
      </c>
      <c r="D765" s="82"/>
      <c r="E765" s="82"/>
      <c r="F765" s="82"/>
      <c r="G765" s="82">
        <f>SUM(G766:G768)</f>
        <v>0</v>
      </c>
      <c r="H765" s="97"/>
    </row>
    <row r="766" spans="1:8" s="69" customFormat="1" ht="15.95" hidden="1" customHeight="1">
      <c r="A766" s="93"/>
      <c r="B766" s="93"/>
      <c r="C766" s="94"/>
      <c r="D766" s="95"/>
      <c r="E766" s="95"/>
      <c r="F766" s="95"/>
      <c r="G766" s="95">
        <f>ROUND(E766*F766,2)</f>
        <v>0</v>
      </c>
      <c r="H766" s="97">
        <v>0</v>
      </c>
    </row>
    <row r="767" spans="1:8" s="69" customFormat="1" ht="15.95" hidden="1" customHeight="1">
      <c r="A767" s="93"/>
      <c r="B767" s="93"/>
      <c r="C767" s="94"/>
      <c r="D767" s="95"/>
      <c r="E767" s="95"/>
      <c r="F767" s="95"/>
      <c r="G767" s="95">
        <f>ROUND(E767*F767,2)</f>
        <v>0</v>
      </c>
      <c r="H767" s="97">
        <v>0</v>
      </c>
    </row>
    <row r="768" spans="1:8" s="69" customFormat="1" ht="15.95" hidden="1" customHeight="1">
      <c r="A768" s="93"/>
      <c r="B768" s="93"/>
      <c r="C768" s="94"/>
      <c r="D768" s="95"/>
      <c r="E768" s="95"/>
      <c r="F768" s="95"/>
      <c r="G768" s="95">
        <f>ROUND(E768*F768,2)</f>
        <v>0</v>
      </c>
      <c r="H768" s="97">
        <v>0</v>
      </c>
    </row>
    <row r="769" spans="1:8" s="69" customFormat="1" ht="15.95" hidden="1" customHeight="1">
      <c r="A769" s="90" t="s">
        <v>348</v>
      </c>
      <c r="B769" s="90" t="s">
        <v>348</v>
      </c>
      <c r="C769" s="91" t="s">
        <v>349</v>
      </c>
      <c r="D769" s="82"/>
      <c r="E769" s="82"/>
      <c r="F769" s="82"/>
      <c r="G769" s="82">
        <f>SUM(G770:G772)</f>
        <v>0</v>
      </c>
      <c r="H769" s="97"/>
    </row>
    <row r="770" spans="1:8" s="69" customFormat="1" ht="15.95" hidden="1" customHeight="1">
      <c r="A770" s="93"/>
      <c r="B770" s="93"/>
      <c r="C770" s="94"/>
      <c r="D770" s="95"/>
      <c r="E770" s="95"/>
      <c r="F770" s="95"/>
      <c r="G770" s="95">
        <f>ROUND(E770*F770,2)</f>
        <v>0</v>
      </c>
      <c r="H770" s="97">
        <v>0</v>
      </c>
    </row>
    <row r="771" spans="1:8" s="69" customFormat="1" ht="15.95" hidden="1" customHeight="1">
      <c r="A771" s="93"/>
      <c r="B771" s="93"/>
      <c r="C771" s="94"/>
      <c r="D771" s="95"/>
      <c r="E771" s="95"/>
      <c r="F771" s="95"/>
      <c r="G771" s="95">
        <f>ROUND(E771*F771,2)</f>
        <v>0</v>
      </c>
      <c r="H771" s="97">
        <v>0</v>
      </c>
    </row>
    <row r="772" spans="1:8" s="69" customFormat="1" ht="15.95" hidden="1" customHeight="1">
      <c r="A772" s="93"/>
      <c r="B772" s="93"/>
      <c r="C772" s="94"/>
      <c r="D772" s="95"/>
      <c r="E772" s="95"/>
      <c r="F772" s="95"/>
      <c r="G772" s="95">
        <f>ROUND(E772*F772,2)</f>
        <v>0</v>
      </c>
      <c r="H772" s="97">
        <v>0</v>
      </c>
    </row>
    <row r="773" spans="1:8" s="69" customFormat="1" ht="15.95" hidden="1" customHeight="1">
      <c r="A773" s="90" t="s">
        <v>350</v>
      </c>
      <c r="B773" s="90" t="s">
        <v>350</v>
      </c>
      <c r="C773" s="91" t="s">
        <v>351</v>
      </c>
      <c r="D773" s="82"/>
      <c r="E773" s="82"/>
      <c r="F773" s="82"/>
      <c r="G773" s="82">
        <f>SUM(G774:G776)</f>
        <v>0</v>
      </c>
      <c r="H773" s="97"/>
    </row>
    <row r="774" spans="1:8" s="69" customFormat="1" ht="15.95" hidden="1" customHeight="1">
      <c r="A774" s="93"/>
      <c r="B774" s="93"/>
      <c r="C774" s="94"/>
      <c r="D774" s="95"/>
      <c r="E774" s="95"/>
      <c r="F774" s="95"/>
      <c r="G774" s="95">
        <f>ROUND(E774*F774,2)</f>
        <v>0</v>
      </c>
      <c r="H774" s="97">
        <v>0</v>
      </c>
    </row>
    <row r="775" spans="1:8" s="69" customFormat="1" ht="15.95" hidden="1" customHeight="1">
      <c r="A775" s="93"/>
      <c r="B775" s="93"/>
      <c r="C775" s="94"/>
      <c r="D775" s="95"/>
      <c r="E775" s="95"/>
      <c r="F775" s="95"/>
      <c r="G775" s="95">
        <f>ROUND(E775*F775,2)</f>
        <v>0</v>
      </c>
      <c r="H775" s="97">
        <v>0</v>
      </c>
    </row>
    <row r="776" spans="1:8" s="69" customFormat="1" ht="15.95" hidden="1" customHeight="1">
      <c r="A776" s="93"/>
      <c r="B776" s="93"/>
      <c r="C776" s="94"/>
      <c r="D776" s="95"/>
      <c r="E776" s="95"/>
      <c r="F776" s="95"/>
      <c r="G776" s="95">
        <f>ROUND(E776*F776,2)</f>
        <v>0</v>
      </c>
      <c r="H776" s="97">
        <v>0</v>
      </c>
    </row>
    <row r="777" spans="1:8" s="69" customFormat="1" ht="15.95" hidden="1" customHeight="1">
      <c r="A777" s="90" t="s">
        <v>352</v>
      </c>
      <c r="B777" s="90" t="s">
        <v>352</v>
      </c>
      <c r="C777" s="91" t="s">
        <v>353</v>
      </c>
      <c r="D777" s="82"/>
      <c r="E777" s="82"/>
      <c r="F777" s="82"/>
      <c r="G777" s="82">
        <f>SUM(G778:G780)</f>
        <v>0</v>
      </c>
      <c r="H777" s="97"/>
    </row>
    <row r="778" spans="1:8" s="69" customFormat="1" ht="15.95" hidden="1" customHeight="1">
      <c r="A778" s="93"/>
      <c r="B778" s="93"/>
      <c r="C778" s="94"/>
      <c r="D778" s="95"/>
      <c r="E778" s="95"/>
      <c r="F778" s="95"/>
      <c r="G778" s="95">
        <f>ROUND(E778*F778,2)</f>
        <v>0</v>
      </c>
      <c r="H778" s="97">
        <v>0</v>
      </c>
    </row>
    <row r="779" spans="1:8" s="69" customFormat="1" ht="15.95" hidden="1" customHeight="1">
      <c r="A779" s="93"/>
      <c r="B779" s="93"/>
      <c r="C779" s="94"/>
      <c r="D779" s="95"/>
      <c r="E779" s="95"/>
      <c r="F779" s="95"/>
      <c r="G779" s="95">
        <f>ROUND(E779*F779,2)</f>
        <v>0</v>
      </c>
      <c r="H779" s="97">
        <v>0</v>
      </c>
    </row>
    <row r="780" spans="1:8" s="69" customFormat="1" ht="15.95" hidden="1" customHeight="1">
      <c r="A780" s="93"/>
      <c r="B780" s="93"/>
      <c r="C780" s="94"/>
      <c r="D780" s="95"/>
      <c r="E780" s="95"/>
      <c r="F780" s="95"/>
      <c r="G780" s="95">
        <f>ROUND(E780*F780,2)</f>
        <v>0</v>
      </c>
      <c r="H780" s="97">
        <v>0</v>
      </c>
    </row>
    <row r="781" spans="1:8" s="69" customFormat="1" ht="15.95" hidden="1" customHeight="1">
      <c r="A781" s="90" t="s">
        <v>354</v>
      </c>
      <c r="B781" s="90" t="s">
        <v>354</v>
      </c>
      <c r="C781" s="91" t="s">
        <v>355</v>
      </c>
      <c r="D781" s="82"/>
      <c r="E781" s="82"/>
      <c r="F781" s="82"/>
      <c r="G781" s="82">
        <f>SUM(G782:G784)</f>
        <v>0</v>
      </c>
      <c r="H781" s="97"/>
    </row>
    <row r="782" spans="1:8" s="69" customFormat="1" ht="15.95" hidden="1" customHeight="1">
      <c r="A782" s="93"/>
      <c r="B782" s="93"/>
      <c r="C782" s="94"/>
      <c r="D782" s="95"/>
      <c r="E782" s="95"/>
      <c r="F782" s="95"/>
      <c r="G782" s="95">
        <f>ROUND(E782*F782,2)</f>
        <v>0</v>
      </c>
      <c r="H782" s="97">
        <v>0</v>
      </c>
    </row>
    <row r="783" spans="1:8" s="69" customFormat="1" ht="15.95" hidden="1" customHeight="1">
      <c r="A783" s="93"/>
      <c r="B783" s="93"/>
      <c r="C783" s="94"/>
      <c r="D783" s="95"/>
      <c r="E783" s="95"/>
      <c r="F783" s="95"/>
      <c r="G783" s="95">
        <f>ROUND(E783*F783,2)</f>
        <v>0</v>
      </c>
      <c r="H783" s="97">
        <v>0</v>
      </c>
    </row>
    <row r="784" spans="1:8" s="69" customFormat="1" ht="15.95" hidden="1" customHeight="1">
      <c r="A784" s="93"/>
      <c r="B784" s="93"/>
      <c r="C784" s="94"/>
      <c r="D784" s="95"/>
      <c r="E784" s="95"/>
      <c r="F784" s="95"/>
      <c r="G784" s="95">
        <f>ROUND(E784*F784,2)</f>
        <v>0</v>
      </c>
      <c r="H784" s="97">
        <v>0</v>
      </c>
    </row>
    <row r="785" spans="1:8" s="69" customFormat="1" ht="15.95" hidden="1" customHeight="1">
      <c r="A785" s="90" t="s">
        <v>356</v>
      </c>
      <c r="B785" s="90" t="s">
        <v>356</v>
      </c>
      <c r="C785" s="91" t="s">
        <v>357</v>
      </c>
      <c r="D785" s="82"/>
      <c r="E785" s="82"/>
      <c r="F785" s="82"/>
      <c r="G785" s="82">
        <f>SUM(G786:G788)</f>
        <v>0</v>
      </c>
      <c r="H785" s="97"/>
    </row>
    <row r="786" spans="1:8" s="69" customFormat="1" ht="15.95" hidden="1" customHeight="1">
      <c r="A786" s="93"/>
      <c r="B786" s="93"/>
      <c r="C786" s="94"/>
      <c r="D786" s="95"/>
      <c r="E786" s="95"/>
      <c r="F786" s="95"/>
      <c r="G786" s="95">
        <f>ROUND(E786*F786,2)</f>
        <v>0</v>
      </c>
      <c r="H786" s="97">
        <v>0</v>
      </c>
    </row>
    <row r="787" spans="1:8" s="69" customFormat="1" ht="15.95" hidden="1" customHeight="1">
      <c r="A787" s="93"/>
      <c r="B787" s="93"/>
      <c r="C787" s="94"/>
      <c r="D787" s="95"/>
      <c r="E787" s="95"/>
      <c r="F787" s="95"/>
      <c r="G787" s="95">
        <f>ROUND(E787*F787,2)</f>
        <v>0</v>
      </c>
      <c r="H787" s="97">
        <v>0</v>
      </c>
    </row>
    <row r="788" spans="1:8" s="69" customFormat="1" ht="15.95" hidden="1" customHeight="1">
      <c r="A788" s="93"/>
      <c r="B788" s="93"/>
      <c r="C788" s="94"/>
      <c r="D788" s="95"/>
      <c r="E788" s="95"/>
      <c r="F788" s="95"/>
      <c r="G788" s="95">
        <f>ROUND(E788*F788,2)</f>
        <v>0</v>
      </c>
      <c r="H788" s="97">
        <v>0</v>
      </c>
    </row>
    <row r="789" spans="1:8" s="69" customFormat="1" ht="15.95" hidden="1" customHeight="1">
      <c r="A789" s="90" t="s">
        <v>358</v>
      </c>
      <c r="B789" s="90" t="s">
        <v>358</v>
      </c>
      <c r="C789" s="91" t="s">
        <v>359</v>
      </c>
      <c r="D789" s="82"/>
      <c r="E789" s="82"/>
      <c r="F789" s="82"/>
      <c r="G789" s="82">
        <f>SUM(G790:G792)</f>
        <v>0</v>
      </c>
      <c r="H789" s="97"/>
    </row>
    <row r="790" spans="1:8" s="69" customFormat="1" ht="15.95" hidden="1" customHeight="1">
      <c r="A790" s="93"/>
      <c r="B790" s="93"/>
      <c r="C790" s="94"/>
      <c r="D790" s="95"/>
      <c r="E790" s="95"/>
      <c r="F790" s="95"/>
      <c r="G790" s="95">
        <f>ROUND(E790*F790,2)</f>
        <v>0</v>
      </c>
      <c r="H790" s="97">
        <v>0</v>
      </c>
    </row>
    <row r="791" spans="1:8" s="69" customFormat="1" ht="15.95" hidden="1" customHeight="1">
      <c r="A791" s="93"/>
      <c r="B791" s="93"/>
      <c r="C791" s="94"/>
      <c r="D791" s="95"/>
      <c r="E791" s="95"/>
      <c r="F791" s="95"/>
      <c r="G791" s="95">
        <f>ROUND(E791*F791,2)</f>
        <v>0</v>
      </c>
      <c r="H791" s="97">
        <v>0</v>
      </c>
    </row>
    <row r="792" spans="1:8" s="69" customFormat="1" ht="15.95" hidden="1" customHeight="1">
      <c r="A792" s="93"/>
      <c r="B792" s="93"/>
      <c r="C792" s="94"/>
      <c r="D792" s="95"/>
      <c r="E792" s="95"/>
      <c r="F792" s="95"/>
      <c r="G792" s="95">
        <f>ROUND(E792*F792,2)</f>
        <v>0</v>
      </c>
      <c r="H792" s="97">
        <v>0</v>
      </c>
    </row>
    <row r="793" spans="1:8" s="69" customFormat="1" ht="15.95" hidden="1" customHeight="1">
      <c r="A793" s="90" t="s">
        <v>360</v>
      </c>
      <c r="B793" s="90" t="s">
        <v>360</v>
      </c>
      <c r="C793" s="91" t="s">
        <v>361</v>
      </c>
      <c r="D793" s="82"/>
      <c r="E793" s="82"/>
      <c r="F793" s="82"/>
      <c r="G793" s="82">
        <f>SUM(G794:G796)</f>
        <v>0</v>
      </c>
      <c r="H793" s="97"/>
    </row>
    <row r="794" spans="1:8" s="69" customFormat="1" ht="15.95" hidden="1" customHeight="1">
      <c r="A794" s="93"/>
      <c r="B794" s="93"/>
      <c r="C794" s="94"/>
      <c r="D794" s="95"/>
      <c r="E794" s="95"/>
      <c r="F794" s="95"/>
      <c r="G794" s="95">
        <f>ROUND(E794*F794,2)</f>
        <v>0</v>
      </c>
      <c r="H794" s="97">
        <v>0</v>
      </c>
    </row>
    <row r="795" spans="1:8" s="69" customFormat="1" ht="15.95" hidden="1" customHeight="1">
      <c r="A795" s="93"/>
      <c r="B795" s="93"/>
      <c r="C795" s="94"/>
      <c r="D795" s="95"/>
      <c r="E795" s="95"/>
      <c r="F795" s="95"/>
      <c r="G795" s="95">
        <f>ROUND(E795*F795,2)</f>
        <v>0</v>
      </c>
      <c r="H795" s="97">
        <v>0</v>
      </c>
    </row>
    <row r="796" spans="1:8" s="69" customFormat="1" ht="15.95" hidden="1" customHeight="1">
      <c r="A796" s="93"/>
      <c r="B796" s="93"/>
      <c r="C796" s="94"/>
      <c r="D796" s="95"/>
      <c r="E796" s="95"/>
      <c r="F796" s="95"/>
      <c r="G796" s="95">
        <f>ROUND(E796*F796,2)</f>
        <v>0</v>
      </c>
      <c r="H796" s="97">
        <v>0</v>
      </c>
    </row>
    <row r="797" spans="1:8" s="69" customFormat="1" ht="15.95" hidden="1" customHeight="1">
      <c r="A797" s="90" t="s">
        <v>362</v>
      </c>
      <c r="B797" s="90" t="s">
        <v>362</v>
      </c>
      <c r="C797" s="91" t="s">
        <v>363</v>
      </c>
      <c r="D797" s="82"/>
      <c r="E797" s="82"/>
      <c r="F797" s="82"/>
      <c r="G797" s="82">
        <f>SUM(G798:G800)</f>
        <v>0</v>
      </c>
      <c r="H797" s="97"/>
    </row>
    <row r="798" spans="1:8" s="69" customFormat="1" ht="15.95" hidden="1" customHeight="1">
      <c r="A798" s="93"/>
      <c r="B798" s="93"/>
      <c r="C798" s="94"/>
      <c r="D798" s="95"/>
      <c r="E798" s="95"/>
      <c r="F798" s="95"/>
      <c r="G798" s="95">
        <f>ROUND(E798*F798,2)</f>
        <v>0</v>
      </c>
      <c r="H798" s="96">
        <v>0</v>
      </c>
    </row>
    <row r="799" spans="1:8" s="69" customFormat="1" ht="15.95" hidden="1" customHeight="1">
      <c r="A799" s="93"/>
      <c r="B799" s="93"/>
      <c r="C799" s="94"/>
      <c r="D799" s="95"/>
      <c r="E799" s="95"/>
      <c r="F799" s="95"/>
      <c r="G799" s="95">
        <f>ROUND(E799*F799,2)</f>
        <v>0</v>
      </c>
      <c r="H799" s="96">
        <v>0</v>
      </c>
    </row>
    <row r="800" spans="1:8" s="69" customFormat="1" ht="15.95" hidden="1" customHeight="1">
      <c r="A800" s="93"/>
      <c r="B800" s="93"/>
      <c r="C800" s="94"/>
      <c r="D800" s="95"/>
      <c r="E800" s="95"/>
      <c r="F800" s="95"/>
      <c r="G800" s="95">
        <f>ROUND(E800*F800,2)</f>
        <v>0</v>
      </c>
      <c r="H800" s="96">
        <v>0</v>
      </c>
    </row>
    <row r="801" spans="1:8" s="69" customFormat="1" ht="15.95" hidden="1" customHeight="1">
      <c r="A801" s="90" t="s">
        <v>364</v>
      </c>
      <c r="B801" s="90" t="s">
        <v>364</v>
      </c>
      <c r="C801" s="91" t="s">
        <v>365</v>
      </c>
      <c r="D801" s="82"/>
      <c r="E801" s="82"/>
      <c r="F801" s="82"/>
      <c r="G801" s="82">
        <f>SUM(G802:G804)</f>
        <v>0</v>
      </c>
      <c r="H801" s="97"/>
    </row>
    <row r="802" spans="1:8" s="69" customFormat="1" ht="15.95" hidden="1" customHeight="1">
      <c r="A802" s="93"/>
      <c r="B802" s="93"/>
      <c r="C802" s="94"/>
      <c r="D802" s="95"/>
      <c r="E802" s="95"/>
      <c r="F802" s="95"/>
      <c r="G802" s="95">
        <f>ROUND(E802*F802,2)</f>
        <v>0</v>
      </c>
      <c r="H802" s="96">
        <v>0</v>
      </c>
    </row>
    <row r="803" spans="1:8" s="69" customFormat="1" ht="15.95" hidden="1" customHeight="1">
      <c r="A803" s="93"/>
      <c r="B803" s="93"/>
      <c r="C803" s="94"/>
      <c r="D803" s="95"/>
      <c r="E803" s="95"/>
      <c r="F803" s="95"/>
      <c r="G803" s="95">
        <f>ROUND(E803*F803,2)</f>
        <v>0</v>
      </c>
      <c r="H803" s="96">
        <v>0</v>
      </c>
    </row>
    <row r="804" spans="1:8" s="69" customFormat="1" ht="15.95" hidden="1" customHeight="1">
      <c r="A804" s="93"/>
      <c r="B804" s="93"/>
      <c r="C804" s="94"/>
      <c r="D804" s="95"/>
      <c r="E804" s="95"/>
      <c r="F804" s="95"/>
      <c r="G804" s="95">
        <f>ROUND(E804*F804,2)</f>
        <v>0</v>
      </c>
      <c r="H804" s="96">
        <v>0</v>
      </c>
    </row>
    <row r="805" spans="1:8" s="69" customFormat="1" ht="15.95" hidden="1" customHeight="1">
      <c r="A805" s="90" t="s">
        <v>366</v>
      </c>
      <c r="B805" s="90" t="s">
        <v>366</v>
      </c>
      <c r="C805" s="91" t="s">
        <v>367</v>
      </c>
      <c r="D805" s="82"/>
      <c r="E805" s="82"/>
      <c r="F805" s="82"/>
      <c r="G805" s="82">
        <f>SUM(G806:G808)</f>
        <v>0</v>
      </c>
      <c r="H805" s="97"/>
    </row>
    <row r="806" spans="1:8" s="69" customFormat="1" ht="15.95" hidden="1" customHeight="1">
      <c r="A806" s="93"/>
      <c r="B806" s="93"/>
      <c r="C806" s="94"/>
      <c r="D806" s="95"/>
      <c r="E806" s="95"/>
      <c r="F806" s="95"/>
      <c r="G806" s="95">
        <f>ROUND(E806*F806,2)</f>
        <v>0</v>
      </c>
      <c r="H806" s="96">
        <v>0</v>
      </c>
    </row>
    <row r="807" spans="1:8" s="69" customFormat="1" ht="15.95" hidden="1" customHeight="1">
      <c r="A807" s="93"/>
      <c r="B807" s="93"/>
      <c r="C807" s="94"/>
      <c r="D807" s="95"/>
      <c r="E807" s="95"/>
      <c r="F807" s="95"/>
      <c r="G807" s="95">
        <f>ROUND(E807*F807,2)</f>
        <v>0</v>
      </c>
      <c r="H807" s="96">
        <v>0</v>
      </c>
    </row>
    <row r="808" spans="1:8" s="69" customFormat="1" ht="15.95" hidden="1" customHeight="1">
      <c r="A808" s="93"/>
      <c r="B808" s="93"/>
      <c r="C808" s="94"/>
      <c r="D808" s="95"/>
      <c r="E808" s="95"/>
      <c r="F808" s="95"/>
      <c r="G808" s="95">
        <f>ROUND(E808*F808,2)</f>
        <v>0</v>
      </c>
      <c r="H808" s="96">
        <v>0</v>
      </c>
    </row>
    <row r="809" spans="1:8" s="69" customFormat="1" ht="15.95" hidden="1" customHeight="1">
      <c r="A809" s="90" t="s">
        <v>368</v>
      </c>
      <c r="B809" s="90" t="s">
        <v>368</v>
      </c>
      <c r="C809" s="91" t="s">
        <v>369</v>
      </c>
      <c r="D809" s="82"/>
      <c r="E809" s="82"/>
      <c r="F809" s="82"/>
      <c r="G809" s="82">
        <f>SUM(G810:G812)</f>
        <v>0</v>
      </c>
      <c r="H809" s="97"/>
    </row>
    <row r="810" spans="1:8" s="69" customFormat="1" ht="15.95" hidden="1" customHeight="1">
      <c r="A810" s="93"/>
      <c r="B810" s="93"/>
      <c r="C810" s="94"/>
      <c r="D810" s="95"/>
      <c r="E810" s="95"/>
      <c r="F810" s="95"/>
      <c r="G810" s="95">
        <f>ROUND(E810*F810,2)</f>
        <v>0</v>
      </c>
      <c r="H810" s="96">
        <v>0</v>
      </c>
    </row>
    <row r="811" spans="1:8" s="69" customFormat="1" ht="15.95" hidden="1" customHeight="1">
      <c r="A811" s="93"/>
      <c r="B811" s="93"/>
      <c r="C811" s="94"/>
      <c r="D811" s="95"/>
      <c r="E811" s="95"/>
      <c r="F811" s="95"/>
      <c r="G811" s="95">
        <f>ROUND(E811*F811,2)</f>
        <v>0</v>
      </c>
      <c r="H811" s="96">
        <v>0</v>
      </c>
    </row>
    <row r="812" spans="1:8" s="69" customFormat="1" ht="15.95" hidden="1" customHeight="1">
      <c r="A812" s="93"/>
      <c r="B812" s="93"/>
      <c r="C812" s="94"/>
      <c r="D812" s="95"/>
      <c r="E812" s="95"/>
      <c r="F812" s="95"/>
      <c r="G812" s="95">
        <f>ROUND(E812*F812,2)</f>
        <v>0</v>
      </c>
      <c r="H812" s="96">
        <v>0</v>
      </c>
    </row>
    <row r="813" spans="1:8" s="69" customFormat="1" ht="15.95" hidden="1" customHeight="1">
      <c r="A813" s="90" t="s">
        <v>370</v>
      </c>
      <c r="B813" s="90" t="s">
        <v>370</v>
      </c>
      <c r="C813" s="91" t="s">
        <v>371</v>
      </c>
      <c r="D813" s="82"/>
      <c r="E813" s="82"/>
      <c r="F813" s="82"/>
      <c r="G813" s="82">
        <f>SUM(G814:G816)</f>
        <v>0</v>
      </c>
      <c r="H813" s="97"/>
    </row>
    <row r="814" spans="1:8" s="69" customFormat="1" ht="15.95" hidden="1" customHeight="1">
      <c r="A814" s="93"/>
      <c r="B814" s="93"/>
      <c r="C814" s="94"/>
      <c r="D814" s="95"/>
      <c r="E814" s="95"/>
      <c r="F814" s="95"/>
      <c r="G814" s="95">
        <f>ROUND(E814*F814,2)</f>
        <v>0</v>
      </c>
      <c r="H814" s="96">
        <v>0</v>
      </c>
    </row>
    <row r="815" spans="1:8" s="69" customFormat="1" ht="15.95" hidden="1" customHeight="1">
      <c r="A815" s="93"/>
      <c r="B815" s="93"/>
      <c r="C815" s="94"/>
      <c r="D815" s="95"/>
      <c r="E815" s="95"/>
      <c r="F815" s="95"/>
      <c r="G815" s="95">
        <f>ROUND(E815*F815,2)</f>
        <v>0</v>
      </c>
      <c r="H815" s="96">
        <v>0</v>
      </c>
    </row>
    <row r="816" spans="1:8" s="69" customFormat="1" ht="15.95" hidden="1" customHeight="1">
      <c r="A816" s="93"/>
      <c r="B816" s="93"/>
      <c r="C816" s="94"/>
      <c r="D816" s="95"/>
      <c r="E816" s="95"/>
      <c r="F816" s="95"/>
      <c r="G816" s="95">
        <f>ROUND(E816*F816,2)</f>
        <v>0</v>
      </c>
      <c r="H816" s="96">
        <v>0</v>
      </c>
    </row>
    <row r="817" spans="1:8" s="69" customFormat="1" ht="15.95" hidden="1" customHeight="1">
      <c r="A817" s="83"/>
      <c r="B817" s="83"/>
      <c r="C817" s="84" t="s">
        <v>372</v>
      </c>
      <c r="D817" s="85"/>
      <c r="E817" s="85"/>
      <c r="F817" s="85"/>
      <c r="G817" s="85"/>
      <c r="H817" s="97"/>
    </row>
    <row r="818" spans="1:8" s="69" customFormat="1" ht="15.95" hidden="1" customHeight="1">
      <c r="A818" s="87" t="s">
        <v>373</v>
      </c>
      <c r="B818" s="87" t="s">
        <v>373</v>
      </c>
      <c r="C818" s="88" t="s">
        <v>374</v>
      </c>
      <c r="D818" s="89"/>
      <c r="E818" s="89"/>
      <c r="F818" s="89"/>
      <c r="G818" s="89">
        <f>SG_10_01+SG_10_02+SG_10_03+SG_10_04+SG_10_05+SG_10_06+SG_10_07+SG_10_08+SG_10_09+SG_10_10+SG_10_11+SG_10_12+SG_10_13+SG_10_14+SG_10_15+SG_10_16+SG_10_17+SG_10_18+SG_10_19+SG_10_20</f>
        <v>0</v>
      </c>
      <c r="H818" s="97"/>
    </row>
    <row r="819" spans="1:8" s="69" customFormat="1" ht="15.95" hidden="1" customHeight="1">
      <c r="A819" s="90" t="s">
        <v>375</v>
      </c>
      <c r="B819" s="90" t="s">
        <v>375</v>
      </c>
      <c r="C819" s="91" t="s">
        <v>376</v>
      </c>
      <c r="D819" s="82"/>
      <c r="E819" s="82"/>
      <c r="F819" s="82"/>
      <c r="G819" s="82">
        <f>SUM(G820:G822)</f>
        <v>0</v>
      </c>
      <c r="H819" s="97"/>
    </row>
    <row r="820" spans="1:8" s="69" customFormat="1" ht="15.95" hidden="1" customHeight="1">
      <c r="A820" s="93"/>
      <c r="B820" s="93"/>
      <c r="C820" s="94"/>
      <c r="D820" s="95"/>
      <c r="E820" s="95"/>
      <c r="F820" s="95"/>
      <c r="G820" s="95">
        <f>ROUND(E820*F820,2)</f>
        <v>0</v>
      </c>
      <c r="H820" s="97">
        <v>0</v>
      </c>
    </row>
    <row r="821" spans="1:8" s="69" customFormat="1" ht="15.95" hidden="1" customHeight="1">
      <c r="A821" s="93"/>
      <c r="B821" s="93"/>
      <c r="C821" s="94"/>
      <c r="D821" s="95"/>
      <c r="E821" s="95"/>
      <c r="F821" s="95"/>
      <c r="G821" s="95">
        <f>ROUND(E821*F821,2)</f>
        <v>0</v>
      </c>
      <c r="H821" s="97">
        <v>0</v>
      </c>
    </row>
    <row r="822" spans="1:8" s="69" customFormat="1" ht="15.95" hidden="1" customHeight="1">
      <c r="A822" s="93"/>
      <c r="B822" s="93"/>
      <c r="C822" s="94"/>
      <c r="D822" s="95"/>
      <c r="E822" s="95"/>
      <c r="F822" s="95"/>
      <c r="G822" s="95">
        <f>ROUND(E822*F822,2)</f>
        <v>0</v>
      </c>
      <c r="H822" s="97">
        <v>0</v>
      </c>
    </row>
    <row r="823" spans="1:8" s="69" customFormat="1" ht="15.95" hidden="1" customHeight="1">
      <c r="A823" s="90" t="s">
        <v>377</v>
      </c>
      <c r="B823" s="90" t="s">
        <v>377</v>
      </c>
      <c r="C823" s="91" t="s">
        <v>378</v>
      </c>
      <c r="D823" s="82"/>
      <c r="E823" s="82"/>
      <c r="F823" s="82"/>
      <c r="G823" s="82">
        <f>SUM(G824:G826)</f>
        <v>0</v>
      </c>
      <c r="H823" s="97"/>
    </row>
    <row r="824" spans="1:8" s="69" customFormat="1" ht="15.95" hidden="1" customHeight="1">
      <c r="A824" s="93"/>
      <c r="B824" s="93"/>
      <c r="C824" s="94"/>
      <c r="D824" s="95"/>
      <c r="E824" s="95"/>
      <c r="F824" s="95"/>
      <c r="G824" s="95">
        <f>ROUND(E824*F824,2)</f>
        <v>0</v>
      </c>
      <c r="H824" s="97">
        <v>0</v>
      </c>
    </row>
    <row r="825" spans="1:8" s="69" customFormat="1" ht="15.95" hidden="1" customHeight="1">
      <c r="A825" s="93"/>
      <c r="B825" s="93"/>
      <c r="C825" s="94"/>
      <c r="D825" s="95"/>
      <c r="E825" s="95"/>
      <c r="F825" s="95"/>
      <c r="G825" s="95">
        <f>ROUND(E825*F825,2)</f>
        <v>0</v>
      </c>
      <c r="H825" s="97">
        <v>0</v>
      </c>
    </row>
    <row r="826" spans="1:8" s="69" customFormat="1" ht="15.95" hidden="1" customHeight="1">
      <c r="A826" s="93"/>
      <c r="B826" s="93"/>
      <c r="C826" s="94"/>
      <c r="D826" s="95"/>
      <c r="E826" s="95"/>
      <c r="F826" s="95"/>
      <c r="G826" s="95">
        <f>ROUND(E826*F826,2)</f>
        <v>0</v>
      </c>
      <c r="H826" s="97">
        <v>0</v>
      </c>
    </row>
    <row r="827" spans="1:8" s="69" customFormat="1" ht="15.95" hidden="1" customHeight="1">
      <c r="A827" s="90" t="s">
        <v>379</v>
      </c>
      <c r="B827" s="90" t="s">
        <v>379</v>
      </c>
      <c r="C827" s="91" t="s">
        <v>380</v>
      </c>
      <c r="D827" s="82"/>
      <c r="E827" s="82"/>
      <c r="F827" s="82"/>
      <c r="G827" s="82">
        <f>SUM(G828:G830)</f>
        <v>0</v>
      </c>
      <c r="H827" s="97"/>
    </row>
    <row r="828" spans="1:8" s="69" customFormat="1" ht="15.95" hidden="1" customHeight="1">
      <c r="A828" s="93"/>
      <c r="B828" s="93"/>
      <c r="C828" s="94"/>
      <c r="D828" s="95"/>
      <c r="E828" s="95"/>
      <c r="F828" s="95"/>
      <c r="G828" s="95">
        <f>ROUND(E828*F828,2)</f>
        <v>0</v>
      </c>
      <c r="H828" s="97">
        <v>0</v>
      </c>
    </row>
    <row r="829" spans="1:8" s="69" customFormat="1" ht="15.95" hidden="1" customHeight="1">
      <c r="A829" s="93"/>
      <c r="B829" s="93"/>
      <c r="C829" s="94"/>
      <c r="D829" s="95"/>
      <c r="E829" s="95"/>
      <c r="F829" s="95"/>
      <c r="G829" s="95">
        <f>ROUND(E829*F829,2)</f>
        <v>0</v>
      </c>
      <c r="H829" s="97">
        <v>0</v>
      </c>
    </row>
    <row r="830" spans="1:8" s="69" customFormat="1" ht="15.95" hidden="1" customHeight="1">
      <c r="A830" s="93"/>
      <c r="B830" s="93"/>
      <c r="C830" s="94"/>
      <c r="D830" s="95"/>
      <c r="E830" s="95"/>
      <c r="F830" s="95"/>
      <c r="G830" s="95">
        <f>ROUND(E830*F830,2)</f>
        <v>0</v>
      </c>
      <c r="H830" s="97">
        <v>0</v>
      </c>
    </row>
    <row r="831" spans="1:8" s="69" customFormat="1" ht="15.95" hidden="1" customHeight="1">
      <c r="A831" s="90" t="s">
        <v>381</v>
      </c>
      <c r="B831" s="90" t="s">
        <v>381</v>
      </c>
      <c r="C831" s="91" t="s">
        <v>382</v>
      </c>
      <c r="D831" s="82"/>
      <c r="E831" s="82"/>
      <c r="F831" s="82"/>
      <c r="G831" s="82">
        <f>SUM(G832:G834)</f>
        <v>0</v>
      </c>
      <c r="H831" s="97"/>
    </row>
    <row r="832" spans="1:8" s="69" customFormat="1" ht="15.95" hidden="1" customHeight="1">
      <c r="A832" s="93"/>
      <c r="B832" s="93"/>
      <c r="C832" s="94"/>
      <c r="D832" s="95"/>
      <c r="E832" s="95"/>
      <c r="F832" s="95"/>
      <c r="G832" s="95">
        <f>ROUND(E832*F832,2)</f>
        <v>0</v>
      </c>
      <c r="H832" s="97">
        <v>0</v>
      </c>
    </row>
    <row r="833" spans="1:8" s="69" customFormat="1" ht="15.95" hidden="1" customHeight="1">
      <c r="A833" s="93"/>
      <c r="B833" s="93"/>
      <c r="C833" s="94"/>
      <c r="D833" s="95"/>
      <c r="E833" s="95"/>
      <c r="F833" s="95"/>
      <c r="G833" s="95">
        <f>ROUND(E833*F833,2)</f>
        <v>0</v>
      </c>
      <c r="H833" s="97">
        <v>0</v>
      </c>
    </row>
    <row r="834" spans="1:8" s="69" customFormat="1" ht="15.95" hidden="1" customHeight="1">
      <c r="A834" s="93"/>
      <c r="B834" s="93"/>
      <c r="C834" s="94"/>
      <c r="D834" s="95"/>
      <c r="E834" s="95"/>
      <c r="F834" s="95"/>
      <c r="G834" s="95">
        <f>ROUND(E834*F834,2)</f>
        <v>0</v>
      </c>
      <c r="H834" s="97">
        <v>0</v>
      </c>
    </row>
    <row r="835" spans="1:8" s="69" customFormat="1" ht="15.95" hidden="1" customHeight="1">
      <c r="A835" s="90" t="s">
        <v>383</v>
      </c>
      <c r="B835" s="90" t="s">
        <v>383</v>
      </c>
      <c r="C835" s="91" t="s">
        <v>384</v>
      </c>
      <c r="D835" s="82"/>
      <c r="E835" s="82"/>
      <c r="F835" s="82"/>
      <c r="G835" s="82">
        <f>SUM(G836:G838)</f>
        <v>0</v>
      </c>
      <c r="H835" s="97"/>
    </row>
    <row r="836" spans="1:8" s="69" customFormat="1" ht="15.95" hidden="1" customHeight="1">
      <c r="A836" s="93"/>
      <c r="B836" s="93"/>
      <c r="C836" s="94"/>
      <c r="D836" s="95"/>
      <c r="E836" s="95"/>
      <c r="F836" s="95"/>
      <c r="G836" s="95">
        <f>ROUND(E836*F836,2)</f>
        <v>0</v>
      </c>
      <c r="H836" s="97">
        <v>0</v>
      </c>
    </row>
    <row r="837" spans="1:8" s="69" customFormat="1" ht="15.95" hidden="1" customHeight="1">
      <c r="A837" s="93"/>
      <c r="B837" s="93"/>
      <c r="C837" s="94"/>
      <c r="D837" s="95"/>
      <c r="E837" s="95"/>
      <c r="F837" s="95"/>
      <c r="G837" s="95">
        <f>ROUND(E837*F837,2)</f>
        <v>0</v>
      </c>
      <c r="H837" s="97">
        <v>0</v>
      </c>
    </row>
    <row r="838" spans="1:8" s="69" customFormat="1" ht="15.95" hidden="1" customHeight="1">
      <c r="A838" s="93"/>
      <c r="B838" s="93"/>
      <c r="C838" s="94"/>
      <c r="D838" s="95"/>
      <c r="E838" s="95"/>
      <c r="F838" s="95"/>
      <c r="G838" s="95">
        <f>ROUND(E838*F838,2)</f>
        <v>0</v>
      </c>
      <c r="H838" s="97">
        <v>0</v>
      </c>
    </row>
    <row r="839" spans="1:8" s="69" customFormat="1" ht="15.95" hidden="1" customHeight="1">
      <c r="A839" s="90" t="s">
        <v>385</v>
      </c>
      <c r="B839" s="90" t="s">
        <v>385</v>
      </c>
      <c r="C839" s="91" t="s">
        <v>386</v>
      </c>
      <c r="D839" s="82"/>
      <c r="E839" s="82"/>
      <c r="F839" s="82"/>
      <c r="G839" s="82">
        <f>SUM(G840:G842)</f>
        <v>0</v>
      </c>
      <c r="H839" s="97"/>
    </row>
    <row r="840" spans="1:8" s="69" customFormat="1" ht="15.95" hidden="1" customHeight="1">
      <c r="A840" s="93"/>
      <c r="B840" s="93"/>
      <c r="C840" s="94"/>
      <c r="D840" s="95"/>
      <c r="E840" s="95"/>
      <c r="F840" s="95"/>
      <c r="G840" s="95">
        <f>ROUND(E840*F840,2)</f>
        <v>0</v>
      </c>
      <c r="H840" s="97">
        <v>0</v>
      </c>
    </row>
    <row r="841" spans="1:8" s="69" customFormat="1" ht="15.95" hidden="1" customHeight="1">
      <c r="A841" s="93"/>
      <c r="B841" s="93"/>
      <c r="C841" s="94"/>
      <c r="D841" s="95"/>
      <c r="E841" s="95"/>
      <c r="F841" s="95"/>
      <c r="G841" s="95">
        <f>ROUND(E841*F841,2)</f>
        <v>0</v>
      </c>
      <c r="H841" s="97">
        <v>0</v>
      </c>
    </row>
    <row r="842" spans="1:8" s="69" customFormat="1" ht="15.95" hidden="1" customHeight="1">
      <c r="A842" s="93"/>
      <c r="B842" s="93"/>
      <c r="C842" s="94"/>
      <c r="D842" s="95"/>
      <c r="E842" s="95"/>
      <c r="F842" s="95"/>
      <c r="G842" s="95">
        <f>ROUND(E842*F842,2)</f>
        <v>0</v>
      </c>
      <c r="H842" s="97">
        <v>0</v>
      </c>
    </row>
    <row r="843" spans="1:8" s="69" customFormat="1" ht="15.95" hidden="1" customHeight="1">
      <c r="A843" s="90" t="s">
        <v>387</v>
      </c>
      <c r="B843" s="90" t="s">
        <v>387</v>
      </c>
      <c r="C843" s="91" t="s">
        <v>388</v>
      </c>
      <c r="D843" s="82"/>
      <c r="E843" s="82"/>
      <c r="F843" s="82"/>
      <c r="G843" s="82">
        <f>SUM(G844:G846)</f>
        <v>0</v>
      </c>
      <c r="H843" s="97"/>
    </row>
    <row r="844" spans="1:8" s="69" customFormat="1" ht="15.95" hidden="1" customHeight="1">
      <c r="A844" s="93"/>
      <c r="B844" s="93"/>
      <c r="C844" s="94"/>
      <c r="D844" s="95"/>
      <c r="E844" s="95"/>
      <c r="F844" s="95"/>
      <c r="G844" s="95">
        <f>ROUND(E844*F844,2)</f>
        <v>0</v>
      </c>
      <c r="H844" s="97">
        <v>0</v>
      </c>
    </row>
    <row r="845" spans="1:8" s="69" customFormat="1" ht="15.95" hidden="1" customHeight="1">
      <c r="A845" s="93"/>
      <c r="B845" s="93"/>
      <c r="C845" s="94"/>
      <c r="D845" s="95"/>
      <c r="E845" s="95"/>
      <c r="F845" s="95"/>
      <c r="G845" s="95">
        <f>ROUND(E845*F845,2)</f>
        <v>0</v>
      </c>
      <c r="H845" s="97">
        <v>0</v>
      </c>
    </row>
    <row r="846" spans="1:8" s="69" customFormat="1" ht="15.95" hidden="1" customHeight="1">
      <c r="A846" s="93"/>
      <c r="B846" s="93"/>
      <c r="C846" s="94"/>
      <c r="D846" s="95"/>
      <c r="E846" s="95"/>
      <c r="F846" s="95"/>
      <c r="G846" s="95">
        <f>ROUND(E846*F846,2)</f>
        <v>0</v>
      </c>
      <c r="H846" s="97">
        <v>0</v>
      </c>
    </row>
    <row r="847" spans="1:8" s="69" customFormat="1" ht="15.95" hidden="1" customHeight="1">
      <c r="A847" s="90" t="s">
        <v>389</v>
      </c>
      <c r="B847" s="90" t="s">
        <v>389</v>
      </c>
      <c r="C847" s="91" t="s">
        <v>390</v>
      </c>
      <c r="D847" s="82"/>
      <c r="E847" s="82"/>
      <c r="F847" s="82"/>
      <c r="G847" s="82">
        <f>SUM(G848:G850)</f>
        <v>0</v>
      </c>
      <c r="H847" s="97"/>
    </row>
    <row r="848" spans="1:8" s="69" customFormat="1" ht="15.95" hidden="1" customHeight="1">
      <c r="A848" s="93"/>
      <c r="B848" s="93"/>
      <c r="C848" s="94"/>
      <c r="D848" s="95"/>
      <c r="E848" s="95"/>
      <c r="F848" s="95"/>
      <c r="G848" s="95">
        <f>ROUND(E848*F848,2)</f>
        <v>0</v>
      </c>
      <c r="H848" s="97">
        <v>0</v>
      </c>
    </row>
    <row r="849" spans="1:8" s="69" customFormat="1" ht="15.95" hidden="1" customHeight="1">
      <c r="A849" s="93"/>
      <c r="B849" s="93"/>
      <c r="C849" s="94"/>
      <c r="D849" s="95"/>
      <c r="E849" s="95"/>
      <c r="F849" s="95"/>
      <c r="G849" s="95">
        <f>ROUND(E849*F849,2)</f>
        <v>0</v>
      </c>
      <c r="H849" s="97">
        <v>0</v>
      </c>
    </row>
    <row r="850" spans="1:8" s="69" customFormat="1" ht="15.95" hidden="1" customHeight="1">
      <c r="A850" s="93"/>
      <c r="B850" s="93"/>
      <c r="C850" s="94"/>
      <c r="D850" s="95"/>
      <c r="E850" s="95"/>
      <c r="F850" s="95"/>
      <c r="G850" s="95">
        <f>ROUND(E850*F850,2)</f>
        <v>0</v>
      </c>
      <c r="H850" s="97">
        <v>0</v>
      </c>
    </row>
    <row r="851" spans="1:8" s="69" customFormat="1" ht="15.95" hidden="1" customHeight="1">
      <c r="A851" s="90" t="s">
        <v>391</v>
      </c>
      <c r="B851" s="90" t="s">
        <v>391</v>
      </c>
      <c r="C851" s="91" t="s">
        <v>392</v>
      </c>
      <c r="D851" s="82"/>
      <c r="E851" s="82"/>
      <c r="F851" s="82"/>
      <c r="G851" s="82">
        <f>SUM(G852:G854)</f>
        <v>0</v>
      </c>
      <c r="H851" s="97"/>
    </row>
    <row r="852" spans="1:8" s="69" customFormat="1" ht="15.95" hidden="1" customHeight="1">
      <c r="A852" s="93"/>
      <c r="B852" s="93"/>
      <c r="C852" s="94"/>
      <c r="D852" s="95"/>
      <c r="E852" s="95"/>
      <c r="F852" s="95"/>
      <c r="G852" s="95">
        <f>ROUND(E852*F852,2)</f>
        <v>0</v>
      </c>
      <c r="H852" s="97">
        <v>0</v>
      </c>
    </row>
    <row r="853" spans="1:8" s="69" customFormat="1" ht="15.95" hidden="1" customHeight="1">
      <c r="A853" s="93"/>
      <c r="B853" s="93"/>
      <c r="C853" s="94"/>
      <c r="D853" s="95"/>
      <c r="E853" s="95"/>
      <c r="F853" s="95"/>
      <c r="G853" s="95">
        <f>ROUND(E853*F853,2)</f>
        <v>0</v>
      </c>
      <c r="H853" s="97">
        <v>0</v>
      </c>
    </row>
    <row r="854" spans="1:8" s="69" customFormat="1" ht="15.95" hidden="1" customHeight="1">
      <c r="A854" s="93"/>
      <c r="B854" s="93"/>
      <c r="C854" s="94"/>
      <c r="D854" s="95"/>
      <c r="E854" s="95"/>
      <c r="F854" s="95"/>
      <c r="G854" s="95">
        <f>ROUND(E854*F854,2)</f>
        <v>0</v>
      </c>
      <c r="H854" s="97">
        <v>0</v>
      </c>
    </row>
    <row r="855" spans="1:8" s="69" customFormat="1" ht="15.95" hidden="1" customHeight="1">
      <c r="A855" s="90" t="s">
        <v>393</v>
      </c>
      <c r="B855" s="90" t="s">
        <v>393</v>
      </c>
      <c r="C855" s="91" t="s">
        <v>394</v>
      </c>
      <c r="D855" s="82"/>
      <c r="E855" s="82"/>
      <c r="F855" s="82"/>
      <c r="G855" s="82">
        <f>SUM(G856:G858)</f>
        <v>0</v>
      </c>
      <c r="H855" s="97"/>
    </row>
    <row r="856" spans="1:8" s="69" customFormat="1" ht="15.95" hidden="1" customHeight="1">
      <c r="A856" s="93"/>
      <c r="B856" s="93"/>
      <c r="C856" s="94"/>
      <c r="D856" s="95"/>
      <c r="E856" s="95"/>
      <c r="F856" s="95"/>
      <c r="G856" s="95">
        <f>ROUND(E856*F856,2)</f>
        <v>0</v>
      </c>
      <c r="H856" s="97">
        <v>0</v>
      </c>
    </row>
    <row r="857" spans="1:8" s="69" customFormat="1" ht="15.95" hidden="1" customHeight="1">
      <c r="A857" s="93"/>
      <c r="B857" s="93"/>
      <c r="C857" s="94"/>
      <c r="D857" s="95"/>
      <c r="E857" s="95"/>
      <c r="F857" s="95"/>
      <c r="G857" s="95">
        <f>ROUND(E857*F857,2)</f>
        <v>0</v>
      </c>
      <c r="H857" s="97">
        <v>0</v>
      </c>
    </row>
    <row r="858" spans="1:8" s="69" customFormat="1" ht="15.95" hidden="1" customHeight="1">
      <c r="A858" s="93"/>
      <c r="B858" s="93"/>
      <c r="C858" s="94"/>
      <c r="D858" s="95"/>
      <c r="E858" s="95"/>
      <c r="F858" s="95"/>
      <c r="G858" s="95">
        <f>ROUND(E858*F858,2)</f>
        <v>0</v>
      </c>
      <c r="H858" s="97">
        <v>0</v>
      </c>
    </row>
    <row r="859" spans="1:8" s="69" customFormat="1" ht="15.95" hidden="1" customHeight="1">
      <c r="A859" s="90" t="s">
        <v>395</v>
      </c>
      <c r="B859" s="90" t="s">
        <v>395</v>
      </c>
      <c r="C859" s="91" t="s">
        <v>396</v>
      </c>
      <c r="D859" s="82"/>
      <c r="E859" s="82"/>
      <c r="F859" s="82"/>
      <c r="G859" s="82">
        <f>SUM(G860:G862)</f>
        <v>0</v>
      </c>
      <c r="H859" s="97"/>
    </row>
    <row r="860" spans="1:8" s="69" customFormat="1" ht="15.95" hidden="1" customHeight="1">
      <c r="A860" s="93"/>
      <c r="B860" s="93"/>
      <c r="C860" s="94"/>
      <c r="D860" s="95"/>
      <c r="E860" s="95"/>
      <c r="F860" s="95"/>
      <c r="G860" s="95">
        <f>ROUND(E860*F860,2)</f>
        <v>0</v>
      </c>
      <c r="H860" s="97">
        <v>0</v>
      </c>
    </row>
    <row r="861" spans="1:8" s="69" customFormat="1" ht="15.95" hidden="1" customHeight="1">
      <c r="A861" s="93"/>
      <c r="B861" s="93"/>
      <c r="C861" s="94"/>
      <c r="D861" s="95"/>
      <c r="E861" s="95"/>
      <c r="F861" s="95"/>
      <c r="G861" s="95">
        <f>ROUND(E861*F861,2)</f>
        <v>0</v>
      </c>
      <c r="H861" s="97">
        <v>0</v>
      </c>
    </row>
    <row r="862" spans="1:8" s="69" customFormat="1" ht="15.95" hidden="1" customHeight="1">
      <c r="A862" s="93"/>
      <c r="B862" s="93"/>
      <c r="C862" s="94"/>
      <c r="D862" s="95"/>
      <c r="E862" s="95"/>
      <c r="F862" s="95"/>
      <c r="G862" s="95">
        <f>ROUND(E862*F862,2)</f>
        <v>0</v>
      </c>
      <c r="H862" s="97">
        <v>0</v>
      </c>
    </row>
    <row r="863" spans="1:8" s="69" customFormat="1" ht="15.95" hidden="1" customHeight="1">
      <c r="A863" s="90" t="s">
        <v>397</v>
      </c>
      <c r="B863" s="90" t="s">
        <v>397</v>
      </c>
      <c r="C863" s="91" t="s">
        <v>398</v>
      </c>
      <c r="D863" s="82"/>
      <c r="E863" s="82"/>
      <c r="F863" s="82"/>
      <c r="G863" s="82">
        <f>SUM(G864:G866)</f>
        <v>0</v>
      </c>
      <c r="H863" s="97"/>
    </row>
    <row r="864" spans="1:8" s="69" customFormat="1" ht="15.95" hidden="1" customHeight="1">
      <c r="A864" s="93"/>
      <c r="B864" s="93"/>
      <c r="C864" s="94"/>
      <c r="D864" s="95"/>
      <c r="E864" s="95"/>
      <c r="F864" s="95"/>
      <c r="G864" s="95">
        <f>ROUND(E864*F864,2)</f>
        <v>0</v>
      </c>
      <c r="H864" s="97">
        <v>0</v>
      </c>
    </row>
    <row r="865" spans="1:8" s="69" customFormat="1" ht="15.95" hidden="1" customHeight="1">
      <c r="A865" s="93"/>
      <c r="B865" s="93"/>
      <c r="C865" s="94"/>
      <c r="D865" s="95"/>
      <c r="E865" s="95"/>
      <c r="F865" s="95"/>
      <c r="G865" s="95">
        <f>ROUND(E865*F865,2)</f>
        <v>0</v>
      </c>
      <c r="H865" s="97">
        <v>0</v>
      </c>
    </row>
    <row r="866" spans="1:8" s="69" customFormat="1" ht="15.95" hidden="1" customHeight="1">
      <c r="A866" s="93"/>
      <c r="B866" s="93"/>
      <c r="C866" s="94"/>
      <c r="D866" s="95"/>
      <c r="E866" s="95"/>
      <c r="F866" s="95"/>
      <c r="G866" s="95">
        <f>ROUND(E866*F866,2)</f>
        <v>0</v>
      </c>
      <c r="H866" s="97">
        <v>0</v>
      </c>
    </row>
    <row r="867" spans="1:8" s="69" customFormat="1" ht="15.95" hidden="1" customHeight="1">
      <c r="A867" s="90" t="s">
        <v>399</v>
      </c>
      <c r="B867" s="90" t="s">
        <v>399</v>
      </c>
      <c r="C867" s="91" t="s">
        <v>400</v>
      </c>
      <c r="D867" s="82"/>
      <c r="E867" s="82"/>
      <c r="F867" s="82"/>
      <c r="G867" s="82">
        <f>SUM(G868:G870)</f>
        <v>0</v>
      </c>
      <c r="H867" s="97"/>
    </row>
    <row r="868" spans="1:8" s="69" customFormat="1" ht="15.95" hidden="1" customHeight="1">
      <c r="A868" s="93"/>
      <c r="B868" s="93"/>
      <c r="C868" s="94"/>
      <c r="D868" s="95"/>
      <c r="E868" s="95"/>
      <c r="F868" s="95"/>
      <c r="G868" s="95">
        <f>ROUND(E868*F868,2)</f>
        <v>0</v>
      </c>
      <c r="H868" s="97">
        <v>0</v>
      </c>
    </row>
    <row r="869" spans="1:8" s="69" customFormat="1" ht="15.95" hidden="1" customHeight="1">
      <c r="A869" s="93"/>
      <c r="B869" s="93"/>
      <c r="C869" s="94"/>
      <c r="D869" s="95"/>
      <c r="E869" s="95"/>
      <c r="F869" s="95"/>
      <c r="G869" s="95">
        <f>ROUND(E869*F869,2)</f>
        <v>0</v>
      </c>
      <c r="H869" s="97">
        <v>0</v>
      </c>
    </row>
    <row r="870" spans="1:8" s="69" customFormat="1" ht="15.95" hidden="1" customHeight="1">
      <c r="A870" s="93"/>
      <c r="B870" s="93"/>
      <c r="C870" s="94"/>
      <c r="D870" s="95"/>
      <c r="E870" s="95"/>
      <c r="F870" s="95"/>
      <c r="G870" s="95">
        <f>ROUND(E870*F870,2)</f>
        <v>0</v>
      </c>
      <c r="H870" s="97">
        <v>0</v>
      </c>
    </row>
    <row r="871" spans="1:8" s="69" customFormat="1" ht="15.95" hidden="1" customHeight="1">
      <c r="A871" s="90" t="s">
        <v>401</v>
      </c>
      <c r="B871" s="90" t="s">
        <v>401</v>
      </c>
      <c r="C871" s="91" t="s">
        <v>402</v>
      </c>
      <c r="D871" s="82"/>
      <c r="E871" s="82"/>
      <c r="F871" s="82"/>
      <c r="G871" s="82">
        <f>SUM(G872:G874)</f>
        <v>0</v>
      </c>
      <c r="H871" s="97"/>
    </row>
    <row r="872" spans="1:8" s="69" customFormat="1" ht="15.95" hidden="1" customHeight="1">
      <c r="A872" s="93"/>
      <c r="B872" s="93"/>
      <c r="C872" s="94"/>
      <c r="D872" s="95"/>
      <c r="E872" s="95"/>
      <c r="F872" s="95"/>
      <c r="G872" s="95">
        <f>ROUND(E872*F872,2)</f>
        <v>0</v>
      </c>
      <c r="H872" s="97">
        <v>0</v>
      </c>
    </row>
    <row r="873" spans="1:8" s="69" customFormat="1" ht="15.95" hidden="1" customHeight="1">
      <c r="A873" s="93"/>
      <c r="B873" s="93"/>
      <c r="C873" s="94"/>
      <c r="D873" s="95"/>
      <c r="E873" s="95"/>
      <c r="F873" s="95"/>
      <c r="G873" s="95">
        <f>ROUND(E873*F873,2)</f>
        <v>0</v>
      </c>
      <c r="H873" s="97">
        <v>0</v>
      </c>
    </row>
    <row r="874" spans="1:8" s="69" customFormat="1" ht="15.95" hidden="1" customHeight="1">
      <c r="A874" s="93"/>
      <c r="B874" s="93"/>
      <c r="C874" s="94"/>
      <c r="D874" s="95"/>
      <c r="E874" s="95"/>
      <c r="F874" s="95"/>
      <c r="G874" s="95">
        <f>ROUND(E874*F874,2)</f>
        <v>0</v>
      </c>
      <c r="H874" s="97">
        <v>0</v>
      </c>
    </row>
    <row r="875" spans="1:8" s="69" customFormat="1" ht="15.95" hidden="1" customHeight="1">
      <c r="A875" s="90" t="s">
        <v>403</v>
      </c>
      <c r="B875" s="90" t="s">
        <v>403</v>
      </c>
      <c r="C875" s="91" t="s">
        <v>404</v>
      </c>
      <c r="D875" s="82"/>
      <c r="E875" s="82"/>
      <c r="F875" s="82"/>
      <c r="G875" s="82">
        <f>SUM(G876:G878)</f>
        <v>0</v>
      </c>
      <c r="H875" s="97"/>
    </row>
    <row r="876" spans="1:8" s="69" customFormat="1" ht="15.95" hidden="1" customHeight="1">
      <c r="A876" s="93"/>
      <c r="B876" s="93"/>
      <c r="C876" s="94"/>
      <c r="D876" s="95"/>
      <c r="E876" s="95"/>
      <c r="F876" s="95"/>
      <c r="G876" s="95">
        <f>ROUND(E876*F876,2)</f>
        <v>0</v>
      </c>
      <c r="H876" s="97">
        <v>0</v>
      </c>
    </row>
    <row r="877" spans="1:8" s="69" customFormat="1" ht="15.95" hidden="1" customHeight="1">
      <c r="A877" s="93"/>
      <c r="B877" s="93"/>
      <c r="C877" s="94"/>
      <c r="D877" s="95"/>
      <c r="E877" s="95"/>
      <c r="F877" s="95"/>
      <c r="G877" s="95">
        <f>ROUND(E877*F877,2)</f>
        <v>0</v>
      </c>
      <c r="H877" s="97">
        <v>0</v>
      </c>
    </row>
    <row r="878" spans="1:8" s="69" customFormat="1" ht="15.95" hidden="1" customHeight="1">
      <c r="A878" s="93"/>
      <c r="B878" s="93"/>
      <c r="C878" s="94"/>
      <c r="D878" s="95"/>
      <c r="E878" s="95"/>
      <c r="F878" s="95"/>
      <c r="G878" s="95">
        <f>ROUND(E878*F878,2)</f>
        <v>0</v>
      </c>
      <c r="H878" s="97">
        <v>0</v>
      </c>
    </row>
    <row r="879" spans="1:8" s="69" customFormat="1" ht="15.95" hidden="1" customHeight="1">
      <c r="A879" s="90" t="s">
        <v>405</v>
      </c>
      <c r="B879" s="90" t="s">
        <v>405</v>
      </c>
      <c r="C879" s="91" t="s">
        <v>406</v>
      </c>
      <c r="D879" s="82"/>
      <c r="E879" s="82"/>
      <c r="F879" s="82"/>
      <c r="G879" s="82">
        <f>SUM(G880:G882)</f>
        <v>0</v>
      </c>
      <c r="H879" s="97"/>
    </row>
    <row r="880" spans="1:8" s="69" customFormat="1" ht="15.95" hidden="1" customHeight="1">
      <c r="A880" s="93"/>
      <c r="B880" s="93"/>
      <c r="C880" s="94"/>
      <c r="D880" s="95"/>
      <c r="E880" s="95"/>
      <c r="F880" s="95"/>
      <c r="G880" s="95">
        <f>ROUND(E880*F880,2)</f>
        <v>0</v>
      </c>
      <c r="H880" s="96">
        <v>0</v>
      </c>
    </row>
    <row r="881" spans="1:8" s="69" customFormat="1" ht="15.95" hidden="1" customHeight="1">
      <c r="A881" s="93"/>
      <c r="B881" s="93"/>
      <c r="C881" s="94"/>
      <c r="D881" s="95"/>
      <c r="E881" s="95"/>
      <c r="F881" s="95"/>
      <c r="G881" s="95">
        <f>ROUND(E881*F881,2)</f>
        <v>0</v>
      </c>
      <c r="H881" s="96">
        <v>0</v>
      </c>
    </row>
    <row r="882" spans="1:8" s="69" customFormat="1" ht="15.95" hidden="1" customHeight="1">
      <c r="A882" s="93"/>
      <c r="B882" s="93"/>
      <c r="C882" s="94"/>
      <c r="D882" s="95"/>
      <c r="E882" s="95"/>
      <c r="F882" s="95"/>
      <c r="G882" s="95">
        <f>ROUND(E882*F882,2)</f>
        <v>0</v>
      </c>
      <c r="H882" s="96">
        <v>0</v>
      </c>
    </row>
    <row r="883" spans="1:8" s="69" customFormat="1" ht="15.95" hidden="1" customHeight="1">
      <c r="A883" s="90" t="s">
        <v>407</v>
      </c>
      <c r="B883" s="90" t="s">
        <v>407</v>
      </c>
      <c r="C883" s="91" t="s">
        <v>408</v>
      </c>
      <c r="D883" s="82"/>
      <c r="E883" s="82"/>
      <c r="F883" s="82"/>
      <c r="G883" s="82">
        <f>SUM(G884:G886)</f>
        <v>0</v>
      </c>
      <c r="H883" s="97"/>
    </row>
    <row r="884" spans="1:8" s="69" customFormat="1" ht="15.95" hidden="1" customHeight="1">
      <c r="A884" s="93"/>
      <c r="B884" s="93"/>
      <c r="C884" s="94"/>
      <c r="D884" s="95"/>
      <c r="E884" s="95"/>
      <c r="F884" s="95"/>
      <c r="G884" s="95">
        <f>ROUND(E884*F884,2)</f>
        <v>0</v>
      </c>
      <c r="H884" s="96">
        <v>0</v>
      </c>
    </row>
    <row r="885" spans="1:8" s="69" customFormat="1" ht="15.95" hidden="1" customHeight="1">
      <c r="A885" s="93"/>
      <c r="B885" s="93"/>
      <c r="C885" s="94"/>
      <c r="D885" s="95"/>
      <c r="E885" s="95"/>
      <c r="F885" s="95"/>
      <c r="G885" s="95">
        <f>ROUND(E885*F885,2)</f>
        <v>0</v>
      </c>
      <c r="H885" s="96">
        <v>0</v>
      </c>
    </row>
    <row r="886" spans="1:8" s="69" customFormat="1" ht="15.95" hidden="1" customHeight="1">
      <c r="A886" s="93"/>
      <c r="B886" s="93"/>
      <c r="C886" s="94"/>
      <c r="D886" s="95"/>
      <c r="E886" s="95"/>
      <c r="F886" s="95"/>
      <c r="G886" s="95">
        <f>ROUND(E886*F886,2)</f>
        <v>0</v>
      </c>
      <c r="H886" s="96">
        <v>0</v>
      </c>
    </row>
    <row r="887" spans="1:8" s="69" customFormat="1" ht="15.95" hidden="1" customHeight="1">
      <c r="A887" s="90" t="s">
        <v>409</v>
      </c>
      <c r="B887" s="90" t="s">
        <v>409</v>
      </c>
      <c r="C887" s="91" t="s">
        <v>410</v>
      </c>
      <c r="D887" s="82"/>
      <c r="E887" s="82"/>
      <c r="F887" s="82"/>
      <c r="G887" s="82">
        <f>SUM(G888:G890)</f>
        <v>0</v>
      </c>
      <c r="H887" s="97"/>
    </row>
    <row r="888" spans="1:8" s="69" customFormat="1" ht="15.95" hidden="1" customHeight="1">
      <c r="A888" s="93"/>
      <c r="B888" s="93"/>
      <c r="C888" s="94"/>
      <c r="D888" s="95"/>
      <c r="E888" s="95"/>
      <c r="F888" s="95"/>
      <c r="G888" s="95">
        <f>ROUND(E888*F888,2)</f>
        <v>0</v>
      </c>
      <c r="H888" s="96">
        <v>0</v>
      </c>
    </row>
    <row r="889" spans="1:8" s="69" customFormat="1" ht="15.95" hidden="1" customHeight="1">
      <c r="A889" s="93"/>
      <c r="B889" s="93"/>
      <c r="C889" s="94"/>
      <c r="D889" s="95"/>
      <c r="E889" s="95"/>
      <c r="F889" s="95"/>
      <c r="G889" s="95">
        <f>ROUND(E889*F889,2)</f>
        <v>0</v>
      </c>
      <c r="H889" s="96">
        <v>0</v>
      </c>
    </row>
    <row r="890" spans="1:8" s="69" customFormat="1" ht="15.95" hidden="1" customHeight="1">
      <c r="A890" s="93"/>
      <c r="B890" s="93"/>
      <c r="C890" s="94"/>
      <c r="D890" s="95"/>
      <c r="E890" s="95"/>
      <c r="F890" s="95"/>
      <c r="G890" s="95">
        <f>ROUND(E890*F890,2)</f>
        <v>0</v>
      </c>
      <c r="H890" s="96">
        <v>0</v>
      </c>
    </row>
    <row r="891" spans="1:8" s="69" customFormat="1" ht="15.95" hidden="1" customHeight="1">
      <c r="A891" s="90" t="s">
        <v>411</v>
      </c>
      <c r="B891" s="90" t="s">
        <v>411</v>
      </c>
      <c r="C891" s="91" t="s">
        <v>412</v>
      </c>
      <c r="D891" s="82"/>
      <c r="E891" s="82"/>
      <c r="F891" s="82"/>
      <c r="G891" s="82">
        <f>SUM(G892:G894)</f>
        <v>0</v>
      </c>
      <c r="H891" s="97"/>
    </row>
    <row r="892" spans="1:8" s="69" customFormat="1" ht="15.95" hidden="1" customHeight="1">
      <c r="A892" s="93"/>
      <c r="B892" s="93"/>
      <c r="C892" s="94"/>
      <c r="D892" s="95"/>
      <c r="E892" s="95"/>
      <c r="F892" s="95"/>
      <c r="G892" s="95">
        <f>ROUND(E892*F892,2)</f>
        <v>0</v>
      </c>
      <c r="H892" s="96">
        <v>0</v>
      </c>
    </row>
    <row r="893" spans="1:8" s="69" customFormat="1" ht="15.95" hidden="1" customHeight="1">
      <c r="A893" s="93"/>
      <c r="B893" s="93"/>
      <c r="C893" s="94"/>
      <c r="D893" s="95"/>
      <c r="E893" s="95"/>
      <c r="F893" s="95"/>
      <c r="G893" s="95">
        <f>ROUND(E893*F893,2)</f>
        <v>0</v>
      </c>
      <c r="H893" s="96">
        <v>0</v>
      </c>
    </row>
    <row r="894" spans="1:8" s="69" customFormat="1" ht="15.95" hidden="1" customHeight="1">
      <c r="A894" s="93"/>
      <c r="B894" s="93"/>
      <c r="C894" s="94"/>
      <c r="D894" s="95"/>
      <c r="E894" s="95"/>
      <c r="F894" s="95"/>
      <c r="G894" s="95">
        <f>ROUND(E894*F894,2)</f>
        <v>0</v>
      </c>
      <c r="H894" s="96">
        <v>0</v>
      </c>
    </row>
    <row r="895" spans="1:8" s="69" customFormat="1" ht="15.95" hidden="1" customHeight="1">
      <c r="A895" s="90" t="s">
        <v>413</v>
      </c>
      <c r="B895" s="90" t="s">
        <v>413</v>
      </c>
      <c r="C895" s="91" t="s">
        <v>414</v>
      </c>
      <c r="D895" s="82"/>
      <c r="E895" s="82"/>
      <c r="F895" s="82"/>
      <c r="G895" s="82">
        <f>SUM(G896:G898)</f>
        <v>0</v>
      </c>
      <c r="H895" s="97"/>
    </row>
    <row r="896" spans="1:8" s="69" customFormat="1" ht="15.95" hidden="1" customHeight="1">
      <c r="A896" s="93"/>
      <c r="B896" s="93"/>
      <c r="C896" s="94"/>
      <c r="D896" s="95"/>
      <c r="E896" s="95"/>
      <c r="F896" s="95"/>
      <c r="G896" s="95">
        <f>ROUND(E896*F896,2)</f>
        <v>0</v>
      </c>
      <c r="H896" s="96">
        <v>0</v>
      </c>
    </row>
    <row r="897" spans="1:8" s="69" customFormat="1" ht="15.95" hidden="1" customHeight="1">
      <c r="A897" s="93"/>
      <c r="B897" s="93"/>
      <c r="C897" s="94"/>
      <c r="D897" s="95"/>
      <c r="E897" s="95"/>
      <c r="F897" s="95"/>
      <c r="G897" s="95">
        <f>ROUND(E897*F897,2)</f>
        <v>0</v>
      </c>
      <c r="H897" s="96">
        <v>0</v>
      </c>
    </row>
    <row r="898" spans="1:8" s="69" customFormat="1" ht="15.95" hidden="1" customHeight="1">
      <c r="A898" s="93"/>
      <c r="B898" s="93"/>
      <c r="C898" s="94"/>
      <c r="D898" s="95"/>
      <c r="E898" s="95"/>
      <c r="F898" s="95"/>
      <c r="G898" s="95">
        <f>ROUND(E898*F898,2)</f>
        <v>0</v>
      </c>
      <c r="H898" s="96">
        <v>0</v>
      </c>
    </row>
    <row r="899" spans="1:8" s="69" customFormat="1" ht="15.95" hidden="1" customHeight="1">
      <c r="A899" s="83"/>
      <c r="B899" s="83"/>
      <c r="C899" s="84" t="s">
        <v>415</v>
      </c>
      <c r="D899" s="85"/>
      <c r="E899" s="85"/>
      <c r="F899" s="85"/>
      <c r="G899" s="85"/>
      <c r="H899" s="97"/>
    </row>
    <row r="900" spans="1:8" s="69" customFormat="1" ht="15.95" hidden="1" customHeight="1">
      <c r="A900" s="87" t="s">
        <v>416</v>
      </c>
      <c r="B900" s="87" t="s">
        <v>416</v>
      </c>
      <c r="C900" s="88" t="s">
        <v>417</v>
      </c>
      <c r="D900" s="89"/>
      <c r="E900" s="89"/>
      <c r="F900" s="89"/>
      <c r="G900" s="89">
        <f>SG_11_01+SG_11_02+SG_11_03+SG_11_04+SG_11_05+SG_11_06+SG_11_07+SG_11_08+SG_11_09+SG_11_10+SG_11_11+SG_11_12+SG_11_13+SG_11_14+SG_11_15+SG_11_16+SG_11_17+SG_11_18+SG_11_19+SG_11_20</f>
        <v>0</v>
      </c>
      <c r="H900" s="97"/>
    </row>
    <row r="901" spans="1:8" s="69" customFormat="1" ht="15.95" hidden="1" customHeight="1">
      <c r="A901" s="90" t="s">
        <v>418</v>
      </c>
      <c r="B901" s="90" t="s">
        <v>418</v>
      </c>
      <c r="C901" s="91" t="s">
        <v>419</v>
      </c>
      <c r="D901" s="82"/>
      <c r="E901" s="82"/>
      <c r="F901" s="82"/>
      <c r="G901" s="82">
        <f>SUM(G902:G904)</f>
        <v>0</v>
      </c>
      <c r="H901" s="97"/>
    </row>
    <row r="902" spans="1:8" s="69" customFormat="1" ht="15.95" hidden="1" customHeight="1">
      <c r="A902" s="93"/>
      <c r="B902" s="93"/>
      <c r="C902" s="94"/>
      <c r="D902" s="95"/>
      <c r="E902" s="95"/>
      <c r="F902" s="95"/>
      <c r="G902" s="95">
        <f>ROUND(E902*F902,2)</f>
        <v>0</v>
      </c>
      <c r="H902" s="97">
        <v>0</v>
      </c>
    </row>
    <row r="903" spans="1:8" s="69" customFormat="1" ht="15.95" hidden="1" customHeight="1">
      <c r="A903" s="93"/>
      <c r="B903" s="93"/>
      <c r="C903" s="94"/>
      <c r="D903" s="95"/>
      <c r="E903" s="95"/>
      <c r="F903" s="95"/>
      <c r="G903" s="95">
        <f>ROUND(E903*F903,2)</f>
        <v>0</v>
      </c>
      <c r="H903" s="97">
        <v>0</v>
      </c>
    </row>
    <row r="904" spans="1:8" s="69" customFormat="1" ht="15.95" hidden="1" customHeight="1">
      <c r="A904" s="93"/>
      <c r="B904" s="93"/>
      <c r="C904" s="94"/>
      <c r="D904" s="95"/>
      <c r="E904" s="95"/>
      <c r="F904" s="95"/>
      <c r="G904" s="95">
        <f>ROUND(E904*F904,2)</f>
        <v>0</v>
      </c>
      <c r="H904" s="97">
        <v>0</v>
      </c>
    </row>
    <row r="905" spans="1:8" s="69" customFormat="1" ht="15.95" hidden="1" customHeight="1">
      <c r="A905" s="90" t="s">
        <v>420</v>
      </c>
      <c r="B905" s="90" t="s">
        <v>420</v>
      </c>
      <c r="C905" s="91" t="s">
        <v>421</v>
      </c>
      <c r="D905" s="82"/>
      <c r="E905" s="82"/>
      <c r="F905" s="82"/>
      <c r="G905" s="82">
        <f>SUM(G906:G908)</f>
        <v>0</v>
      </c>
      <c r="H905" s="97"/>
    </row>
    <row r="906" spans="1:8" s="69" customFormat="1" ht="15.95" hidden="1" customHeight="1">
      <c r="A906" s="93"/>
      <c r="B906" s="93"/>
      <c r="C906" s="94"/>
      <c r="D906" s="95"/>
      <c r="E906" s="95"/>
      <c r="F906" s="95"/>
      <c r="G906" s="95">
        <f>ROUND(E906*F906,2)</f>
        <v>0</v>
      </c>
      <c r="H906" s="97">
        <v>0</v>
      </c>
    </row>
    <row r="907" spans="1:8" s="69" customFormat="1" ht="15.95" hidden="1" customHeight="1">
      <c r="A907" s="93"/>
      <c r="B907" s="93"/>
      <c r="C907" s="94"/>
      <c r="D907" s="95"/>
      <c r="E907" s="95"/>
      <c r="F907" s="95"/>
      <c r="G907" s="95">
        <f>ROUND(E907*F907,2)</f>
        <v>0</v>
      </c>
      <c r="H907" s="97">
        <v>0</v>
      </c>
    </row>
    <row r="908" spans="1:8" s="69" customFormat="1" ht="15.95" hidden="1" customHeight="1">
      <c r="A908" s="93"/>
      <c r="B908" s="93"/>
      <c r="C908" s="94"/>
      <c r="D908" s="95"/>
      <c r="E908" s="95"/>
      <c r="F908" s="95"/>
      <c r="G908" s="95">
        <f>ROUND(E908*F908,2)</f>
        <v>0</v>
      </c>
      <c r="H908" s="97">
        <v>0</v>
      </c>
    </row>
    <row r="909" spans="1:8" s="69" customFormat="1" ht="15.95" hidden="1" customHeight="1">
      <c r="A909" s="90" t="s">
        <v>422</v>
      </c>
      <c r="B909" s="90" t="s">
        <v>422</v>
      </c>
      <c r="C909" s="91" t="s">
        <v>423</v>
      </c>
      <c r="D909" s="82"/>
      <c r="E909" s="82"/>
      <c r="F909" s="82"/>
      <c r="G909" s="82">
        <f>SUM(G910:G912)</f>
        <v>0</v>
      </c>
      <c r="H909" s="97"/>
    </row>
    <row r="910" spans="1:8" s="69" customFormat="1" ht="15.95" hidden="1" customHeight="1">
      <c r="A910" s="93"/>
      <c r="B910" s="93"/>
      <c r="C910" s="94"/>
      <c r="D910" s="95"/>
      <c r="E910" s="95"/>
      <c r="F910" s="95"/>
      <c r="G910" s="95">
        <f>ROUND(E910*F910,2)</f>
        <v>0</v>
      </c>
      <c r="H910" s="97">
        <v>0</v>
      </c>
    </row>
    <row r="911" spans="1:8" s="69" customFormat="1" ht="15.95" hidden="1" customHeight="1">
      <c r="A911" s="93"/>
      <c r="B911" s="93"/>
      <c r="C911" s="94"/>
      <c r="D911" s="95"/>
      <c r="E911" s="95"/>
      <c r="F911" s="95"/>
      <c r="G911" s="95">
        <f>ROUND(E911*F911,2)</f>
        <v>0</v>
      </c>
      <c r="H911" s="97">
        <v>0</v>
      </c>
    </row>
    <row r="912" spans="1:8" s="69" customFormat="1" ht="15.95" hidden="1" customHeight="1">
      <c r="A912" s="93"/>
      <c r="B912" s="93"/>
      <c r="C912" s="94"/>
      <c r="D912" s="95"/>
      <c r="E912" s="95"/>
      <c r="F912" s="95"/>
      <c r="G912" s="95">
        <f>ROUND(E912*F912,2)</f>
        <v>0</v>
      </c>
      <c r="H912" s="97">
        <v>0</v>
      </c>
    </row>
    <row r="913" spans="1:8" s="69" customFormat="1" ht="15.95" hidden="1" customHeight="1">
      <c r="A913" s="90" t="s">
        <v>424</v>
      </c>
      <c r="B913" s="90" t="s">
        <v>424</v>
      </c>
      <c r="C913" s="91" t="s">
        <v>425</v>
      </c>
      <c r="D913" s="82"/>
      <c r="E913" s="82"/>
      <c r="F913" s="82"/>
      <c r="G913" s="82">
        <f>SUM(G914:G916)</f>
        <v>0</v>
      </c>
      <c r="H913" s="97"/>
    </row>
    <row r="914" spans="1:8" s="69" customFormat="1" ht="15.95" hidden="1" customHeight="1">
      <c r="A914" s="93"/>
      <c r="B914" s="93"/>
      <c r="C914" s="94"/>
      <c r="D914" s="95"/>
      <c r="E914" s="95"/>
      <c r="F914" s="95"/>
      <c r="G914" s="95">
        <f>ROUND(E914*F914,2)</f>
        <v>0</v>
      </c>
      <c r="H914" s="97">
        <v>0</v>
      </c>
    </row>
    <row r="915" spans="1:8" s="69" customFormat="1" ht="15.95" hidden="1" customHeight="1">
      <c r="A915" s="93"/>
      <c r="B915" s="93"/>
      <c r="C915" s="94"/>
      <c r="D915" s="95"/>
      <c r="E915" s="95"/>
      <c r="F915" s="95"/>
      <c r="G915" s="95">
        <f>ROUND(E915*F915,2)</f>
        <v>0</v>
      </c>
      <c r="H915" s="97">
        <v>0</v>
      </c>
    </row>
    <row r="916" spans="1:8" s="69" customFormat="1" ht="15.95" hidden="1" customHeight="1">
      <c r="A916" s="93"/>
      <c r="B916" s="93"/>
      <c r="C916" s="94"/>
      <c r="D916" s="95"/>
      <c r="E916" s="95"/>
      <c r="F916" s="95"/>
      <c r="G916" s="95">
        <f>ROUND(E916*F916,2)</f>
        <v>0</v>
      </c>
      <c r="H916" s="97">
        <v>0</v>
      </c>
    </row>
    <row r="917" spans="1:8" s="69" customFormat="1" ht="15.95" hidden="1" customHeight="1">
      <c r="A917" s="90" t="s">
        <v>426</v>
      </c>
      <c r="B917" s="90" t="s">
        <v>426</v>
      </c>
      <c r="C917" s="91" t="s">
        <v>427</v>
      </c>
      <c r="D917" s="82"/>
      <c r="E917" s="82"/>
      <c r="F917" s="82"/>
      <c r="G917" s="82">
        <f>SUM(G918:G920)</f>
        <v>0</v>
      </c>
      <c r="H917" s="97"/>
    </row>
    <row r="918" spans="1:8" s="69" customFormat="1" ht="15.95" hidden="1" customHeight="1">
      <c r="A918" s="93"/>
      <c r="B918" s="93"/>
      <c r="C918" s="94"/>
      <c r="D918" s="95"/>
      <c r="E918" s="95"/>
      <c r="F918" s="95"/>
      <c r="G918" s="95">
        <f>ROUND(E918*F918,2)</f>
        <v>0</v>
      </c>
      <c r="H918" s="97">
        <v>0</v>
      </c>
    </row>
    <row r="919" spans="1:8" s="69" customFormat="1" ht="15.95" hidden="1" customHeight="1">
      <c r="A919" s="93"/>
      <c r="B919" s="93"/>
      <c r="C919" s="94"/>
      <c r="D919" s="95"/>
      <c r="E919" s="95"/>
      <c r="F919" s="95"/>
      <c r="G919" s="95">
        <f>ROUND(E919*F919,2)</f>
        <v>0</v>
      </c>
      <c r="H919" s="97">
        <v>0</v>
      </c>
    </row>
    <row r="920" spans="1:8" s="69" customFormat="1" ht="15.95" hidden="1" customHeight="1">
      <c r="A920" s="93"/>
      <c r="B920" s="93"/>
      <c r="C920" s="94"/>
      <c r="D920" s="95"/>
      <c r="E920" s="95"/>
      <c r="F920" s="95"/>
      <c r="G920" s="95">
        <f>ROUND(E920*F920,2)</f>
        <v>0</v>
      </c>
      <c r="H920" s="97">
        <v>0</v>
      </c>
    </row>
    <row r="921" spans="1:8" s="69" customFormat="1" ht="15.95" hidden="1" customHeight="1">
      <c r="A921" s="90" t="s">
        <v>428</v>
      </c>
      <c r="B921" s="90" t="s">
        <v>428</v>
      </c>
      <c r="C921" s="91" t="s">
        <v>429</v>
      </c>
      <c r="D921" s="82"/>
      <c r="E921" s="82"/>
      <c r="F921" s="82"/>
      <c r="G921" s="82">
        <f>SUM(G922:G924)</f>
        <v>0</v>
      </c>
      <c r="H921" s="97"/>
    </row>
    <row r="922" spans="1:8" s="69" customFormat="1" ht="15.95" hidden="1" customHeight="1">
      <c r="A922" s="93"/>
      <c r="B922" s="93"/>
      <c r="C922" s="94"/>
      <c r="D922" s="95"/>
      <c r="E922" s="95"/>
      <c r="F922" s="95"/>
      <c r="G922" s="95">
        <f>ROUND(E922*F922,2)</f>
        <v>0</v>
      </c>
      <c r="H922" s="97">
        <v>0</v>
      </c>
    </row>
    <row r="923" spans="1:8" s="69" customFormat="1" ht="15.95" hidden="1" customHeight="1">
      <c r="A923" s="93"/>
      <c r="B923" s="93"/>
      <c r="C923" s="94"/>
      <c r="D923" s="95"/>
      <c r="E923" s="95"/>
      <c r="F923" s="95"/>
      <c r="G923" s="95">
        <f>ROUND(E923*F923,2)</f>
        <v>0</v>
      </c>
      <c r="H923" s="97">
        <v>0</v>
      </c>
    </row>
    <row r="924" spans="1:8" s="69" customFormat="1" ht="15.95" hidden="1" customHeight="1">
      <c r="A924" s="93"/>
      <c r="B924" s="93"/>
      <c r="C924" s="94"/>
      <c r="D924" s="95"/>
      <c r="E924" s="95"/>
      <c r="F924" s="95"/>
      <c r="G924" s="95">
        <f>ROUND(E924*F924,2)</f>
        <v>0</v>
      </c>
      <c r="H924" s="97">
        <v>0</v>
      </c>
    </row>
    <row r="925" spans="1:8" s="69" customFormat="1" ht="15.95" hidden="1" customHeight="1">
      <c r="A925" s="90" t="s">
        <v>430</v>
      </c>
      <c r="B925" s="90" t="s">
        <v>430</v>
      </c>
      <c r="C925" s="91" t="s">
        <v>431</v>
      </c>
      <c r="D925" s="82"/>
      <c r="E925" s="82"/>
      <c r="F925" s="82"/>
      <c r="G925" s="82">
        <f>SUM(G926:G928)</f>
        <v>0</v>
      </c>
      <c r="H925" s="97"/>
    </row>
    <row r="926" spans="1:8" s="69" customFormat="1" ht="15.95" hidden="1" customHeight="1">
      <c r="A926" s="93"/>
      <c r="B926" s="93"/>
      <c r="C926" s="94"/>
      <c r="D926" s="95"/>
      <c r="E926" s="95"/>
      <c r="F926" s="95"/>
      <c r="G926" s="95">
        <f>ROUND(E926*F926,2)</f>
        <v>0</v>
      </c>
      <c r="H926" s="97">
        <v>0</v>
      </c>
    </row>
    <row r="927" spans="1:8" s="69" customFormat="1" ht="15.95" hidden="1" customHeight="1">
      <c r="A927" s="93"/>
      <c r="B927" s="93"/>
      <c r="C927" s="94"/>
      <c r="D927" s="95"/>
      <c r="E927" s="95"/>
      <c r="F927" s="95"/>
      <c r="G927" s="95">
        <f>ROUND(E927*F927,2)</f>
        <v>0</v>
      </c>
      <c r="H927" s="97">
        <v>0</v>
      </c>
    </row>
    <row r="928" spans="1:8" s="69" customFormat="1" ht="15.95" hidden="1" customHeight="1">
      <c r="A928" s="93"/>
      <c r="B928" s="93"/>
      <c r="C928" s="94"/>
      <c r="D928" s="95"/>
      <c r="E928" s="95"/>
      <c r="F928" s="95"/>
      <c r="G928" s="95">
        <f>ROUND(E928*F928,2)</f>
        <v>0</v>
      </c>
      <c r="H928" s="97">
        <v>0</v>
      </c>
    </row>
    <row r="929" spans="1:8" s="69" customFormat="1" ht="15.95" hidden="1" customHeight="1">
      <c r="A929" s="90" t="s">
        <v>432</v>
      </c>
      <c r="B929" s="90" t="s">
        <v>432</v>
      </c>
      <c r="C929" s="91" t="s">
        <v>433</v>
      </c>
      <c r="D929" s="82"/>
      <c r="E929" s="82"/>
      <c r="F929" s="82"/>
      <c r="G929" s="82">
        <f>SUM(G930:G932)</f>
        <v>0</v>
      </c>
      <c r="H929" s="97"/>
    </row>
    <row r="930" spans="1:8" s="69" customFormat="1" ht="15.95" hidden="1" customHeight="1">
      <c r="A930" s="93"/>
      <c r="B930" s="93"/>
      <c r="C930" s="94"/>
      <c r="D930" s="95"/>
      <c r="E930" s="95"/>
      <c r="F930" s="95"/>
      <c r="G930" s="95">
        <f>ROUND(E930*F930,2)</f>
        <v>0</v>
      </c>
      <c r="H930" s="97">
        <v>0</v>
      </c>
    </row>
    <row r="931" spans="1:8" s="69" customFormat="1" ht="15.95" hidden="1" customHeight="1">
      <c r="A931" s="93"/>
      <c r="B931" s="93"/>
      <c r="C931" s="94"/>
      <c r="D931" s="95"/>
      <c r="E931" s="95"/>
      <c r="F931" s="95"/>
      <c r="G931" s="95">
        <f>ROUND(E931*F931,2)</f>
        <v>0</v>
      </c>
      <c r="H931" s="97">
        <v>0</v>
      </c>
    </row>
    <row r="932" spans="1:8" s="69" customFormat="1" ht="15.95" hidden="1" customHeight="1">
      <c r="A932" s="93"/>
      <c r="B932" s="93"/>
      <c r="C932" s="94"/>
      <c r="D932" s="95"/>
      <c r="E932" s="95"/>
      <c r="F932" s="95"/>
      <c r="G932" s="95">
        <f>ROUND(E932*F932,2)</f>
        <v>0</v>
      </c>
      <c r="H932" s="97">
        <v>0</v>
      </c>
    </row>
    <row r="933" spans="1:8" s="69" customFormat="1" ht="15.95" hidden="1" customHeight="1">
      <c r="A933" s="90" t="s">
        <v>434</v>
      </c>
      <c r="B933" s="90" t="s">
        <v>434</v>
      </c>
      <c r="C933" s="91" t="s">
        <v>435</v>
      </c>
      <c r="D933" s="82"/>
      <c r="E933" s="82"/>
      <c r="F933" s="82"/>
      <c r="G933" s="82">
        <f>SUM(G934:G936)</f>
        <v>0</v>
      </c>
      <c r="H933" s="97"/>
    </row>
    <row r="934" spans="1:8" s="69" customFormat="1" ht="15.95" hidden="1" customHeight="1">
      <c r="A934" s="93"/>
      <c r="B934" s="93"/>
      <c r="C934" s="94"/>
      <c r="D934" s="95"/>
      <c r="E934" s="95"/>
      <c r="F934" s="95"/>
      <c r="G934" s="95">
        <f>ROUND(E934*F934,2)</f>
        <v>0</v>
      </c>
      <c r="H934" s="97">
        <v>0</v>
      </c>
    </row>
    <row r="935" spans="1:8" s="69" customFormat="1" ht="15.95" hidden="1" customHeight="1">
      <c r="A935" s="93"/>
      <c r="B935" s="93"/>
      <c r="C935" s="94"/>
      <c r="D935" s="95"/>
      <c r="E935" s="95"/>
      <c r="F935" s="95"/>
      <c r="G935" s="95">
        <f>ROUND(E935*F935,2)</f>
        <v>0</v>
      </c>
      <c r="H935" s="97">
        <v>0</v>
      </c>
    </row>
    <row r="936" spans="1:8" s="69" customFormat="1" ht="15.95" hidden="1" customHeight="1">
      <c r="A936" s="93"/>
      <c r="B936" s="93"/>
      <c r="C936" s="94"/>
      <c r="D936" s="95"/>
      <c r="E936" s="95"/>
      <c r="F936" s="95"/>
      <c r="G936" s="95">
        <f>ROUND(E936*F936,2)</f>
        <v>0</v>
      </c>
      <c r="H936" s="97">
        <v>0</v>
      </c>
    </row>
    <row r="937" spans="1:8" s="69" customFormat="1" ht="15.95" hidden="1" customHeight="1">
      <c r="A937" s="90" t="s">
        <v>436</v>
      </c>
      <c r="B937" s="90" t="s">
        <v>436</v>
      </c>
      <c r="C937" s="91" t="s">
        <v>437</v>
      </c>
      <c r="D937" s="82"/>
      <c r="E937" s="82"/>
      <c r="F937" s="82"/>
      <c r="G937" s="82">
        <f>SUM(G938:G940)</f>
        <v>0</v>
      </c>
      <c r="H937" s="97"/>
    </row>
    <row r="938" spans="1:8" s="69" customFormat="1" ht="15.95" hidden="1" customHeight="1">
      <c r="A938" s="93"/>
      <c r="B938" s="93"/>
      <c r="C938" s="94"/>
      <c r="D938" s="95"/>
      <c r="E938" s="95"/>
      <c r="F938" s="95"/>
      <c r="G938" s="95">
        <f>ROUND(E938*F938,2)</f>
        <v>0</v>
      </c>
      <c r="H938" s="97">
        <v>0</v>
      </c>
    </row>
    <row r="939" spans="1:8" s="69" customFormat="1" ht="15.95" hidden="1" customHeight="1">
      <c r="A939" s="93"/>
      <c r="B939" s="93"/>
      <c r="C939" s="94"/>
      <c r="D939" s="95"/>
      <c r="E939" s="95"/>
      <c r="F939" s="95"/>
      <c r="G939" s="95">
        <f>ROUND(E939*F939,2)</f>
        <v>0</v>
      </c>
      <c r="H939" s="97">
        <v>0</v>
      </c>
    </row>
    <row r="940" spans="1:8" s="69" customFormat="1" ht="15.95" hidden="1" customHeight="1">
      <c r="A940" s="93"/>
      <c r="B940" s="93"/>
      <c r="C940" s="94"/>
      <c r="D940" s="95"/>
      <c r="E940" s="95"/>
      <c r="F940" s="95"/>
      <c r="G940" s="95">
        <f>ROUND(E940*F940,2)</f>
        <v>0</v>
      </c>
      <c r="H940" s="97">
        <v>0</v>
      </c>
    </row>
    <row r="941" spans="1:8" s="69" customFormat="1" ht="15.95" hidden="1" customHeight="1">
      <c r="A941" s="90" t="s">
        <v>438</v>
      </c>
      <c r="B941" s="90" t="s">
        <v>438</v>
      </c>
      <c r="C941" s="91" t="s">
        <v>439</v>
      </c>
      <c r="D941" s="82"/>
      <c r="E941" s="82"/>
      <c r="F941" s="82"/>
      <c r="G941" s="82">
        <f>SUM(G942:G944)</f>
        <v>0</v>
      </c>
      <c r="H941" s="97"/>
    </row>
    <row r="942" spans="1:8" s="69" customFormat="1" ht="15.95" hidden="1" customHeight="1">
      <c r="A942" s="93"/>
      <c r="B942" s="93"/>
      <c r="C942" s="94"/>
      <c r="D942" s="95"/>
      <c r="E942" s="95"/>
      <c r="F942" s="95"/>
      <c r="G942" s="95">
        <f>ROUND(E942*F942,2)</f>
        <v>0</v>
      </c>
      <c r="H942" s="97">
        <v>0</v>
      </c>
    </row>
    <row r="943" spans="1:8" s="69" customFormat="1" ht="15.95" hidden="1" customHeight="1">
      <c r="A943" s="93"/>
      <c r="B943" s="93"/>
      <c r="C943" s="94"/>
      <c r="D943" s="95"/>
      <c r="E943" s="95"/>
      <c r="F943" s="95"/>
      <c r="G943" s="95">
        <f>ROUND(E943*F943,2)</f>
        <v>0</v>
      </c>
      <c r="H943" s="97">
        <v>0</v>
      </c>
    </row>
    <row r="944" spans="1:8" s="69" customFormat="1" ht="15.95" hidden="1" customHeight="1">
      <c r="A944" s="93"/>
      <c r="B944" s="93"/>
      <c r="C944" s="94"/>
      <c r="D944" s="95"/>
      <c r="E944" s="95"/>
      <c r="F944" s="95"/>
      <c r="G944" s="95">
        <f>ROUND(E944*F944,2)</f>
        <v>0</v>
      </c>
      <c r="H944" s="97">
        <v>0</v>
      </c>
    </row>
    <row r="945" spans="1:8" s="69" customFormat="1" ht="15.95" hidden="1" customHeight="1">
      <c r="A945" s="90" t="s">
        <v>440</v>
      </c>
      <c r="B945" s="90" t="s">
        <v>440</v>
      </c>
      <c r="C945" s="91" t="s">
        <v>441</v>
      </c>
      <c r="D945" s="82"/>
      <c r="E945" s="82"/>
      <c r="F945" s="82"/>
      <c r="G945" s="82">
        <f>SUM(G946:G948)</f>
        <v>0</v>
      </c>
      <c r="H945" s="97"/>
    </row>
    <row r="946" spans="1:8" s="69" customFormat="1" ht="15.95" hidden="1" customHeight="1">
      <c r="A946" s="93"/>
      <c r="B946" s="93"/>
      <c r="C946" s="94"/>
      <c r="D946" s="95"/>
      <c r="E946" s="95"/>
      <c r="F946" s="95"/>
      <c r="G946" s="95">
        <f>ROUND(E946*F946,2)</f>
        <v>0</v>
      </c>
      <c r="H946" s="97">
        <v>0</v>
      </c>
    </row>
    <row r="947" spans="1:8" s="69" customFormat="1" ht="15.95" hidden="1" customHeight="1">
      <c r="A947" s="93"/>
      <c r="B947" s="93"/>
      <c r="C947" s="94"/>
      <c r="D947" s="95"/>
      <c r="E947" s="95"/>
      <c r="F947" s="95"/>
      <c r="G947" s="95">
        <f>ROUND(E947*F947,2)</f>
        <v>0</v>
      </c>
      <c r="H947" s="97">
        <v>0</v>
      </c>
    </row>
    <row r="948" spans="1:8" s="69" customFormat="1" ht="15.95" hidden="1" customHeight="1">
      <c r="A948" s="93"/>
      <c r="B948" s="93"/>
      <c r="C948" s="94"/>
      <c r="D948" s="95"/>
      <c r="E948" s="95"/>
      <c r="F948" s="95"/>
      <c r="G948" s="95">
        <f>ROUND(E948*F948,2)</f>
        <v>0</v>
      </c>
      <c r="H948" s="97">
        <v>0</v>
      </c>
    </row>
    <row r="949" spans="1:8" s="69" customFormat="1" ht="15.95" hidden="1" customHeight="1">
      <c r="A949" s="90" t="s">
        <v>442</v>
      </c>
      <c r="B949" s="90" t="s">
        <v>442</v>
      </c>
      <c r="C949" s="91" t="s">
        <v>443</v>
      </c>
      <c r="D949" s="82"/>
      <c r="E949" s="82"/>
      <c r="F949" s="82"/>
      <c r="G949" s="82">
        <f>SUM(G950:G952)</f>
        <v>0</v>
      </c>
      <c r="H949" s="97"/>
    </row>
    <row r="950" spans="1:8" s="69" customFormat="1" ht="15.95" hidden="1" customHeight="1">
      <c r="A950" s="93"/>
      <c r="B950" s="93"/>
      <c r="C950" s="94"/>
      <c r="D950" s="95"/>
      <c r="E950" s="95"/>
      <c r="F950" s="95"/>
      <c r="G950" s="95">
        <f>ROUND(E950*F950,2)</f>
        <v>0</v>
      </c>
      <c r="H950" s="97">
        <v>0</v>
      </c>
    </row>
    <row r="951" spans="1:8" s="69" customFormat="1" ht="15.95" hidden="1" customHeight="1">
      <c r="A951" s="93"/>
      <c r="B951" s="93"/>
      <c r="C951" s="94"/>
      <c r="D951" s="95"/>
      <c r="E951" s="95"/>
      <c r="F951" s="95"/>
      <c r="G951" s="95">
        <f>ROUND(E951*F951,2)</f>
        <v>0</v>
      </c>
      <c r="H951" s="97">
        <v>0</v>
      </c>
    </row>
    <row r="952" spans="1:8" s="69" customFormat="1" ht="15.95" hidden="1" customHeight="1">
      <c r="A952" s="93"/>
      <c r="B952" s="93"/>
      <c r="C952" s="94"/>
      <c r="D952" s="95"/>
      <c r="E952" s="95"/>
      <c r="F952" s="95"/>
      <c r="G952" s="95">
        <f>ROUND(E952*F952,2)</f>
        <v>0</v>
      </c>
      <c r="H952" s="97">
        <v>0</v>
      </c>
    </row>
    <row r="953" spans="1:8" s="69" customFormat="1" ht="15.95" hidden="1" customHeight="1">
      <c r="A953" s="90" t="s">
        <v>444</v>
      </c>
      <c r="B953" s="90" t="s">
        <v>444</v>
      </c>
      <c r="C953" s="91" t="s">
        <v>445</v>
      </c>
      <c r="D953" s="82"/>
      <c r="E953" s="82"/>
      <c r="F953" s="82"/>
      <c r="G953" s="82">
        <f>SUM(G954:G956)</f>
        <v>0</v>
      </c>
      <c r="H953" s="97"/>
    </row>
    <row r="954" spans="1:8" s="69" customFormat="1" ht="15.95" hidden="1" customHeight="1">
      <c r="A954" s="93"/>
      <c r="B954" s="93"/>
      <c r="C954" s="94"/>
      <c r="D954" s="95"/>
      <c r="E954" s="95"/>
      <c r="F954" s="95"/>
      <c r="G954" s="95">
        <f>ROUND(E954*F954,2)</f>
        <v>0</v>
      </c>
      <c r="H954" s="97">
        <v>0</v>
      </c>
    </row>
    <row r="955" spans="1:8" s="69" customFormat="1" ht="15.95" hidden="1" customHeight="1">
      <c r="A955" s="93"/>
      <c r="B955" s="93"/>
      <c r="C955" s="94"/>
      <c r="D955" s="95"/>
      <c r="E955" s="95"/>
      <c r="F955" s="95"/>
      <c r="G955" s="95">
        <f>ROUND(E955*F955,2)</f>
        <v>0</v>
      </c>
      <c r="H955" s="97">
        <v>0</v>
      </c>
    </row>
    <row r="956" spans="1:8" s="69" customFormat="1" ht="15.95" hidden="1" customHeight="1">
      <c r="A956" s="93"/>
      <c r="B956" s="93"/>
      <c r="C956" s="94"/>
      <c r="D956" s="95"/>
      <c r="E956" s="95"/>
      <c r="F956" s="95"/>
      <c r="G956" s="95">
        <f>ROUND(E956*F956,2)</f>
        <v>0</v>
      </c>
      <c r="H956" s="97">
        <v>0</v>
      </c>
    </row>
    <row r="957" spans="1:8" s="69" customFormat="1" ht="15.95" hidden="1" customHeight="1">
      <c r="A957" s="90" t="s">
        <v>446</v>
      </c>
      <c r="B957" s="90" t="s">
        <v>446</v>
      </c>
      <c r="C957" s="91" t="s">
        <v>447</v>
      </c>
      <c r="D957" s="82"/>
      <c r="E957" s="82"/>
      <c r="F957" s="82"/>
      <c r="G957" s="82">
        <f>SUM(G958:G960)</f>
        <v>0</v>
      </c>
      <c r="H957" s="97"/>
    </row>
    <row r="958" spans="1:8" s="69" customFormat="1" ht="15.95" hidden="1" customHeight="1">
      <c r="A958" s="93"/>
      <c r="B958" s="93"/>
      <c r="C958" s="94"/>
      <c r="D958" s="95"/>
      <c r="E958" s="95"/>
      <c r="F958" s="95"/>
      <c r="G958" s="95">
        <f>ROUND(E958*F958,2)</f>
        <v>0</v>
      </c>
      <c r="H958" s="97">
        <v>0</v>
      </c>
    </row>
    <row r="959" spans="1:8" s="69" customFormat="1" ht="15.95" hidden="1" customHeight="1">
      <c r="A959" s="93"/>
      <c r="B959" s="93"/>
      <c r="C959" s="94"/>
      <c r="D959" s="95"/>
      <c r="E959" s="95"/>
      <c r="F959" s="95"/>
      <c r="G959" s="95">
        <f>ROUND(E959*F959,2)</f>
        <v>0</v>
      </c>
      <c r="H959" s="97">
        <v>0</v>
      </c>
    </row>
    <row r="960" spans="1:8" s="69" customFormat="1" ht="15.95" hidden="1" customHeight="1">
      <c r="A960" s="93"/>
      <c r="B960" s="93"/>
      <c r="C960" s="94"/>
      <c r="D960" s="95"/>
      <c r="E960" s="95"/>
      <c r="F960" s="95"/>
      <c r="G960" s="95">
        <f>ROUND(E960*F960,2)</f>
        <v>0</v>
      </c>
      <c r="H960" s="97">
        <v>0</v>
      </c>
    </row>
    <row r="961" spans="1:8" s="69" customFormat="1" ht="15.95" hidden="1" customHeight="1">
      <c r="A961" s="90" t="s">
        <v>448</v>
      </c>
      <c r="B961" s="90" t="s">
        <v>448</v>
      </c>
      <c r="C961" s="91" t="s">
        <v>449</v>
      </c>
      <c r="D961" s="82"/>
      <c r="E961" s="82"/>
      <c r="F961" s="82"/>
      <c r="G961" s="82">
        <f>SUM(G962:G964)</f>
        <v>0</v>
      </c>
      <c r="H961" s="97"/>
    </row>
    <row r="962" spans="1:8" s="69" customFormat="1" ht="15.95" hidden="1" customHeight="1">
      <c r="A962" s="93"/>
      <c r="B962" s="93"/>
      <c r="C962" s="94"/>
      <c r="D962" s="95"/>
      <c r="E962" s="95"/>
      <c r="F962" s="95"/>
      <c r="G962" s="95">
        <f>ROUND(E962*F962,2)</f>
        <v>0</v>
      </c>
      <c r="H962" s="96">
        <v>0</v>
      </c>
    </row>
    <row r="963" spans="1:8" s="69" customFormat="1" ht="15.95" hidden="1" customHeight="1">
      <c r="A963" s="93"/>
      <c r="B963" s="93"/>
      <c r="C963" s="94"/>
      <c r="D963" s="95"/>
      <c r="E963" s="95"/>
      <c r="F963" s="95"/>
      <c r="G963" s="95">
        <f>ROUND(E963*F963,2)</f>
        <v>0</v>
      </c>
      <c r="H963" s="96">
        <v>0</v>
      </c>
    </row>
    <row r="964" spans="1:8" s="69" customFormat="1" ht="15.95" hidden="1" customHeight="1">
      <c r="A964" s="93"/>
      <c r="B964" s="93"/>
      <c r="C964" s="94"/>
      <c r="D964" s="95"/>
      <c r="E964" s="95"/>
      <c r="F964" s="95"/>
      <c r="G964" s="95">
        <f>ROUND(E964*F964,2)</f>
        <v>0</v>
      </c>
      <c r="H964" s="96">
        <v>0</v>
      </c>
    </row>
    <row r="965" spans="1:8" s="69" customFormat="1" ht="15.95" hidden="1" customHeight="1">
      <c r="A965" s="90" t="s">
        <v>450</v>
      </c>
      <c r="B965" s="90" t="s">
        <v>450</v>
      </c>
      <c r="C965" s="91" t="s">
        <v>451</v>
      </c>
      <c r="D965" s="82"/>
      <c r="E965" s="82"/>
      <c r="F965" s="82"/>
      <c r="G965" s="82">
        <f>SUM(G966:G968)</f>
        <v>0</v>
      </c>
      <c r="H965" s="97"/>
    </row>
    <row r="966" spans="1:8" s="69" customFormat="1" ht="15.95" hidden="1" customHeight="1">
      <c r="A966" s="93"/>
      <c r="B966" s="93"/>
      <c r="C966" s="94"/>
      <c r="D966" s="95"/>
      <c r="E966" s="95"/>
      <c r="F966" s="95"/>
      <c r="G966" s="95">
        <f>ROUND(E966*F966,2)</f>
        <v>0</v>
      </c>
      <c r="H966" s="96">
        <v>0</v>
      </c>
    </row>
    <row r="967" spans="1:8" s="69" customFormat="1" ht="15.95" hidden="1" customHeight="1">
      <c r="A967" s="93"/>
      <c r="B967" s="93"/>
      <c r="C967" s="94"/>
      <c r="D967" s="95"/>
      <c r="E967" s="95"/>
      <c r="F967" s="95"/>
      <c r="G967" s="95">
        <f>ROUND(E967*F967,2)</f>
        <v>0</v>
      </c>
      <c r="H967" s="96">
        <v>0</v>
      </c>
    </row>
    <row r="968" spans="1:8" s="69" customFormat="1" ht="15.95" hidden="1" customHeight="1">
      <c r="A968" s="93"/>
      <c r="B968" s="93"/>
      <c r="C968" s="94"/>
      <c r="D968" s="95"/>
      <c r="E968" s="95"/>
      <c r="F968" s="95"/>
      <c r="G968" s="95">
        <f>ROUND(E968*F968,2)</f>
        <v>0</v>
      </c>
      <c r="H968" s="96">
        <v>0</v>
      </c>
    </row>
    <row r="969" spans="1:8" s="69" customFormat="1" ht="15.95" hidden="1" customHeight="1">
      <c r="A969" s="90" t="s">
        <v>452</v>
      </c>
      <c r="B969" s="90" t="s">
        <v>452</v>
      </c>
      <c r="C969" s="91" t="s">
        <v>453</v>
      </c>
      <c r="D969" s="82"/>
      <c r="E969" s="82"/>
      <c r="F969" s="82"/>
      <c r="G969" s="82">
        <f>SUM(G970:G972)</f>
        <v>0</v>
      </c>
      <c r="H969" s="97"/>
    </row>
    <row r="970" spans="1:8" s="69" customFormat="1" ht="15.95" hidden="1" customHeight="1">
      <c r="A970" s="93"/>
      <c r="B970" s="93"/>
      <c r="C970" s="94"/>
      <c r="D970" s="95"/>
      <c r="E970" s="95"/>
      <c r="F970" s="95"/>
      <c r="G970" s="95">
        <f>ROUND(E970*F970,2)</f>
        <v>0</v>
      </c>
      <c r="H970" s="96">
        <v>0</v>
      </c>
    </row>
    <row r="971" spans="1:8" s="69" customFormat="1" ht="15.95" hidden="1" customHeight="1">
      <c r="A971" s="93"/>
      <c r="B971" s="93"/>
      <c r="C971" s="94"/>
      <c r="D971" s="95"/>
      <c r="E971" s="95"/>
      <c r="F971" s="95"/>
      <c r="G971" s="95">
        <f>ROUND(E971*F971,2)</f>
        <v>0</v>
      </c>
      <c r="H971" s="96">
        <v>0</v>
      </c>
    </row>
    <row r="972" spans="1:8" s="69" customFormat="1" ht="15.95" hidden="1" customHeight="1">
      <c r="A972" s="93"/>
      <c r="B972" s="93"/>
      <c r="C972" s="94"/>
      <c r="D972" s="95"/>
      <c r="E972" s="95"/>
      <c r="F972" s="95"/>
      <c r="G972" s="95">
        <f>ROUND(E972*F972,2)</f>
        <v>0</v>
      </c>
      <c r="H972" s="96">
        <v>0</v>
      </c>
    </row>
    <row r="973" spans="1:8" s="69" customFormat="1" ht="15.95" hidden="1" customHeight="1">
      <c r="A973" s="90" t="s">
        <v>454</v>
      </c>
      <c r="B973" s="90" t="s">
        <v>454</v>
      </c>
      <c r="C973" s="91" t="s">
        <v>455</v>
      </c>
      <c r="D973" s="82"/>
      <c r="E973" s="82"/>
      <c r="F973" s="82"/>
      <c r="G973" s="82">
        <f>SUM(G974:G976)</f>
        <v>0</v>
      </c>
      <c r="H973" s="97"/>
    </row>
    <row r="974" spans="1:8" s="69" customFormat="1" ht="15.95" hidden="1" customHeight="1">
      <c r="A974" s="93"/>
      <c r="B974" s="93"/>
      <c r="C974" s="94"/>
      <c r="D974" s="95"/>
      <c r="E974" s="95"/>
      <c r="F974" s="95"/>
      <c r="G974" s="95">
        <f>ROUND(E974*F974,2)</f>
        <v>0</v>
      </c>
      <c r="H974" s="96">
        <v>0</v>
      </c>
    </row>
    <row r="975" spans="1:8" s="69" customFormat="1" ht="15.95" hidden="1" customHeight="1">
      <c r="A975" s="93"/>
      <c r="B975" s="93"/>
      <c r="C975" s="94"/>
      <c r="D975" s="95"/>
      <c r="E975" s="95"/>
      <c r="F975" s="95"/>
      <c r="G975" s="95">
        <f>ROUND(E975*F975,2)</f>
        <v>0</v>
      </c>
      <c r="H975" s="96">
        <v>0</v>
      </c>
    </row>
    <row r="976" spans="1:8" s="69" customFormat="1" ht="15.95" hidden="1" customHeight="1">
      <c r="A976" s="93"/>
      <c r="B976" s="93"/>
      <c r="C976" s="94"/>
      <c r="D976" s="95"/>
      <c r="E976" s="95"/>
      <c r="F976" s="95"/>
      <c r="G976" s="95">
        <f>ROUND(E976*F976,2)</f>
        <v>0</v>
      </c>
      <c r="H976" s="96">
        <v>0</v>
      </c>
    </row>
    <row r="977" spans="1:8" s="69" customFormat="1" ht="15.95" hidden="1" customHeight="1">
      <c r="A977" s="90" t="s">
        <v>456</v>
      </c>
      <c r="B977" s="90" t="s">
        <v>456</v>
      </c>
      <c r="C977" s="91" t="s">
        <v>457</v>
      </c>
      <c r="D977" s="82"/>
      <c r="E977" s="82"/>
      <c r="F977" s="82"/>
      <c r="G977" s="82">
        <f>SUM(G978:G980)</f>
        <v>0</v>
      </c>
      <c r="H977" s="97"/>
    </row>
    <row r="978" spans="1:8" s="69" customFormat="1" ht="15.95" hidden="1" customHeight="1">
      <c r="A978" s="93"/>
      <c r="B978" s="93"/>
      <c r="C978" s="94"/>
      <c r="D978" s="95"/>
      <c r="E978" s="95"/>
      <c r="F978" s="95"/>
      <c r="G978" s="95">
        <f>ROUND(E978*F978,2)</f>
        <v>0</v>
      </c>
      <c r="H978" s="96">
        <v>0</v>
      </c>
    </row>
    <row r="979" spans="1:8" s="69" customFormat="1" ht="15.95" hidden="1" customHeight="1">
      <c r="A979" s="93"/>
      <c r="B979" s="93"/>
      <c r="C979" s="94"/>
      <c r="D979" s="95"/>
      <c r="E979" s="95"/>
      <c r="F979" s="95"/>
      <c r="G979" s="95">
        <f>ROUND(E979*F979,2)</f>
        <v>0</v>
      </c>
      <c r="H979" s="96">
        <v>0</v>
      </c>
    </row>
    <row r="980" spans="1:8" s="69" customFormat="1" ht="15.95" hidden="1" customHeight="1">
      <c r="A980" s="93"/>
      <c r="B980" s="93"/>
      <c r="C980" s="94"/>
      <c r="D980" s="95"/>
      <c r="E980" s="95"/>
      <c r="F980" s="95"/>
      <c r="G980" s="95">
        <f>ROUND(E980*F980,2)</f>
        <v>0</v>
      </c>
      <c r="H980" s="96">
        <v>0</v>
      </c>
    </row>
    <row r="981" spans="1:8" s="69" customFormat="1" ht="15.95" hidden="1" customHeight="1">
      <c r="A981" s="83"/>
      <c r="B981" s="83"/>
      <c r="C981" s="84" t="s">
        <v>458</v>
      </c>
      <c r="D981" s="85"/>
      <c r="E981" s="85"/>
      <c r="F981" s="85"/>
      <c r="G981" s="85"/>
      <c r="H981" s="97"/>
    </row>
    <row r="982" spans="1:8" s="69" customFormat="1" ht="15.95" hidden="1" customHeight="1">
      <c r="A982" s="106" t="s">
        <v>459</v>
      </c>
      <c r="B982" s="106" t="s">
        <v>459</v>
      </c>
      <c r="C982" s="88" t="s">
        <v>460</v>
      </c>
      <c r="D982" s="89"/>
      <c r="E982" s="89"/>
      <c r="F982" s="89"/>
      <c r="G982" s="89">
        <f>SG_12_01+SG_12_02+SG_12_03+SG_12_04+SG_12_05+SG_12_06+SG_12_07+SG_12_08+SG_12_09+SG_12_10+SG_12_11+SG_12_12+SG_12_13+SG_12_14+SG_12_15+SG_12_16+SG_12_17+SG_12_18+SG_12_19+SG_12_20</f>
        <v>0</v>
      </c>
      <c r="H982" s="97"/>
    </row>
    <row r="983" spans="1:8" s="69" customFormat="1" ht="15.95" hidden="1" customHeight="1">
      <c r="A983" s="90" t="s">
        <v>461</v>
      </c>
      <c r="B983" s="90" t="s">
        <v>461</v>
      </c>
      <c r="C983" s="91" t="s">
        <v>462</v>
      </c>
      <c r="D983" s="82"/>
      <c r="E983" s="82"/>
      <c r="F983" s="82"/>
      <c r="G983" s="82">
        <f>SUM(G984:G986)</f>
        <v>0</v>
      </c>
      <c r="H983" s="97"/>
    </row>
    <row r="984" spans="1:8" s="69" customFormat="1" ht="15.95" hidden="1" customHeight="1">
      <c r="A984" s="93"/>
      <c r="B984" s="93"/>
      <c r="C984" s="94"/>
      <c r="D984" s="95"/>
      <c r="E984" s="95"/>
      <c r="F984" s="95"/>
      <c r="G984" s="95">
        <f>ROUND(E984*F984,2)</f>
        <v>0</v>
      </c>
      <c r="H984" s="97">
        <v>0</v>
      </c>
    </row>
    <row r="985" spans="1:8" s="69" customFormat="1" ht="15.95" hidden="1" customHeight="1">
      <c r="A985" s="93"/>
      <c r="B985" s="93"/>
      <c r="C985" s="94"/>
      <c r="D985" s="95"/>
      <c r="E985" s="95"/>
      <c r="F985" s="95"/>
      <c r="G985" s="95">
        <f>ROUND(E985*F985,2)</f>
        <v>0</v>
      </c>
      <c r="H985" s="97">
        <v>0</v>
      </c>
    </row>
    <row r="986" spans="1:8" s="69" customFormat="1" ht="15.95" hidden="1" customHeight="1">
      <c r="A986" s="93"/>
      <c r="B986" s="93"/>
      <c r="C986" s="94"/>
      <c r="D986" s="95"/>
      <c r="E986" s="95"/>
      <c r="F986" s="95"/>
      <c r="G986" s="95">
        <f>ROUND(E986*F986,2)</f>
        <v>0</v>
      </c>
      <c r="H986" s="97">
        <v>0</v>
      </c>
    </row>
    <row r="987" spans="1:8" s="69" customFormat="1" ht="15.95" hidden="1" customHeight="1">
      <c r="A987" s="90" t="s">
        <v>463</v>
      </c>
      <c r="B987" s="90" t="s">
        <v>463</v>
      </c>
      <c r="C987" s="91" t="s">
        <v>464</v>
      </c>
      <c r="D987" s="82"/>
      <c r="E987" s="82"/>
      <c r="F987" s="82"/>
      <c r="G987" s="82">
        <f>SUM(G988:G990)</f>
        <v>0</v>
      </c>
      <c r="H987" s="97"/>
    </row>
    <row r="988" spans="1:8" s="69" customFormat="1" ht="15.95" hidden="1" customHeight="1">
      <c r="A988" s="93"/>
      <c r="B988" s="93"/>
      <c r="C988" s="94"/>
      <c r="D988" s="95"/>
      <c r="E988" s="95"/>
      <c r="F988" s="95"/>
      <c r="G988" s="95">
        <f>ROUND(E988*F988,2)</f>
        <v>0</v>
      </c>
      <c r="H988" s="97">
        <v>0</v>
      </c>
    </row>
    <row r="989" spans="1:8" s="69" customFormat="1" ht="15.95" hidden="1" customHeight="1">
      <c r="A989" s="93"/>
      <c r="B989" s="93"/>
      <c r="C989" s="94"/>
      <c r="D989" s="95"/>
      <c r="E989" s="95"/>
      <c r="F989" s="95"/>
      <c r="G989" s="95">
        <f>ROUND(E989*F989,2)</f>
        <v>0</v>
      </c>
      <c r="H989" s="97">
        <v>0</v>
      </c>
    </row>
    <row r="990" spans="1:8" s="69" customFormat="1" ht="15.95" hidden="1" customHeight="1">
      <c r="A990" s="93"/>
      <c r="B990" s="93"/>
      <c r="C990" s="94"/>
      <c r="D990" s="95"/>
      <c r="E990" s="95"/>
      <c r="F990" s="95"/>
      <c r="G990" s="95">
        <f>ROUND(E990*F990,2)</f>
        <v>0</v>
      </c>
      <c r="H990" s="97">
        <v>0</v>
      </c>
    </row>
    <row r="991" spans="1:8" s="69" customFormat="1" ht="15.95" hidden="1" customHeight="1">
      <c r="A991" s="90" t="s">
        <v>465</v>
      </c>
      <c r="B991" s="90" t="s">
        <v>465</v>
      </c>
      <c r="C991" s="91" t="s">
        <v>466</v>
      </c>
      <c r="D991" s="82"/>
      <c r="E991" s="82"/>
      <c r="F991" s="82"/>
      <c r="G991" s="82">
        <f>SUM(G992:G994)</f>
        <v>0</v>
      </c>
      <c r="H991" s="97"/>
    </row>
    <row r="992" spans="1:8" s="69" customFormat="1" ht="15.95" hidden="1" customHeight="1">
      <c r="A992" s="93"/>
      <c r="B992" s="93"/>
      <c r="C992" s="94"/>
      <c r="D992" s="95"/>
      <c r="E992" s="95"/>
      <c r="F992" s="95"/>
      <c r="G992" s="95">
        <f>ROUND(E992*F992,2)</f>
        <v>0</v>
      </c>
      <c r="H992" s="97">
        <v>0</v>
      </c>
    </row>
    <row r="993" spans="1:8" s="69" customFormat="1" ht="15.95" hidden="1" customHeight="1">
      <c r="A993" s="93"/>
      <c r="B993" s="93"/>
      <c r="C993" s="94"/>
      <c r="D993" s="95"/>
      <c r="E993" s="95"/>
      <c r="F993" s="95"/>
      <c r="G993" s="95">
        <f>ROUND(E993*F993,2)</f>
        <v>0</v>
      </c>
      <c r="H993" s="97">
        <v>0</v>
      </c>
    </row>
    <row r="994" spans="1:8" s="69" customFormat="1" ht="15.95" hidden="1" customHeight="1">
      <c r="A994" s="93"/>
      <c r="B994" s="93"/>
      <c r="C994" s="94"/>
      <c r="D994" s="95"/>
      <c r="E994" s="95"/>
      <c r="F994" s="95"/>
      <c r="G994" s="95">
        <f>ROUND(E994*F994,2)</f>
        <v>0</v>
      </c>
      <c r="H994" s="97">
        <v>0</v>
      </c>
    </row>
    <row r="995" spans="1:8" s="69" customFormat="1" ht="15.95" hidden="1" customHeight="1">
      <c r="A995" s="90" t="s">
        <v>467</v>
      </c>
      <c r="B995" s="90" t="s">
        <v>467</v>
      </c>
      <c r="C995" s="91" t="s">
        <v>468</v>
      </c>
      <c r="D995" s="82"/>
      <c r="E995" s="82"/>
      <c r="F995" s="82"/>
      <c r="G995" s="82">
        <f>SUM(G996:G998)</f>
        <v>0</v>
      </c>
      <c r="H995" s="97"/>
    </row>
    <row r="996" spans="1:8" s="69" customFormat="1" ht="15.95" hidden="1" customHeight="1">
      <c r="A996" s="93"/>
      <c r="B996" s="93"/>
      <c r="C996" s="94"/>
      <c r="D996" s="95"/>
      <c r="E996" s="95"/>
      <c r="F996" s="95"/>
      <c r="G996" s="95">
        <f>ROUND(E996*F996,2)</f>
        <v>0</v>
      </c>
      <c r="H996" s="97">
        <v>0</v>
      </c>
    </row>
    <row r="997" spans="1:8" s="69" customFormat="1" ht="15.95" hidden="1" customHeight="1">
      <c r="A997" s="93"/>
      <c r="B997" s="93"/>
      <c r="C997" s="94"/>
      <c r="D997" s="95"/>
      <c r="E997" s="95"/>
      <c r="F997" s="95"/>
      <c r="G997" s="95">
        <f>ROUND(E997*F997,2)</f>
        <v>0</v>
      </c>
      <c r="H997" s="97">
        <v>0</v>
      </c>
    </row>
    <row r="998" spans="1:8" s="69" customFormat="1" ht="15.95" hidden="1" customHeight="1">
      <c r="A998" s="93"/>
      <c r="B998" s="93"/>
      <c r="C998" s="94"/>
      <c r="D998" s="95"/>
      <c r="E998" s="95"/>
      <c r="F998" s="95"/>
      <c r="G998" s="95">
        <f>ROUND(E998*F998,2)</f>
        <v>0</v>
      </c>
      <c r="H998" s="97">
        <v>0</v>
      </c>
    </row>
    <row r="999" spans="1:8" s="69" customFormat="1" ht="15.95" hidden="1" customHeight="1">
      <c r="A999" s="90" t="s">
        <v>469</v>
      </c>
      <c r="B999" s="90" t="s">
        <v>469</v>
      </c>
      <c r="C999" s="91" t="s">
        <v>470</v>
      </c>
      <c r="D999" s="82"/>
      <c r="E999" s="82"/>
      <c r="F999" s="82"/>
      <c r="G999" s="82">
        <f>SUM(G1000:G1002)</f>
        <v>0</v>
      </c>
      <c r="H999" s="97"/>
    </row>
    <row r="1000" spans="1:8" s="69" customFormat="1" ht="15.95" hidden="1" customHeight="1">
      <c r="A1000" s="93"/>
      <c r="B1000" s="93"/>
      <c r="C1000" s="94"/>
      <c r="D1000" s="95"/>
      <c r="E1000" s="95"/>
      <c r="F1000" s="95"/>
      <c r="G1000" s="95">
        <f>ROUND(E1000*F1000,2)</f>
        <v>0</v>
      </c>
      <c r="H1000" s="97">
        <v>0</v>
      </c>
    </row>
    <row r="1001" spans="1:8" s="69" customFormat="1" ht="15.95" hidden="1" customHeight="1">
      <c r="A1001" s="93"/>
      <c r="B1001" s="93"/>
      <c r="C1001" s="94"/>
      <c r="D1001" s="95"/>
      <c r="E1001" s="95"/>
      <c r="F1001" s="95"/>
      <c r="G1001" s="95">
        <f>ROUND(E1001*F1001,2)</f>
        <v>0</v>
      </c>
      <c r="H1001" s="97">
        <v>0</v>
      </c>
    </row>
    <row r="1002" spans="1:8" s="69" customFormat="1" ht="15.95" hidden="1" customHeight="1">
      <c r="A1002" s="93"/>
      <c r="B1002" s="93"/>
      <c r="C1002" s="94"/>
      <c r="D1002" s="95"/>
      <c r="E1002" s="95"/>
      <c r="F1002" s="95"/>
      <c r="G1002" s="95">
        <f>ROUND(E1002*F1002,2)</f>
        <v>0</v>
      </c>
      <c r="H1002" s="97">
        <v>0</v>
      </c>
    </row>
    <row r="1003" spans="1:8" s="69" customFormat="1" ht="15.95" hidden="1" customHeight="1">
      <c r="A1003" s="90" t="s">
        <v>471</v>
      </c>
      <c r="B1003" s="90" t="s">
        <v>471</v>
      </c>
      <c r="C1003" s="91" t="s">
        <v>472</v>
      </c>
      <c r="D1003" s="82"/>
      <c r="E1003" s="82"/>
      <c r="F1003" s="82"/>
      <c r="G1003" s="82">
        <f>SUM(G1004:G1006)</f>
        <v>0</v>
      </c>
      <c r="H1003" s="97"/>
    </row>
    <row r="1004" spans="1:8" s="69" customFormat="1" ht="15.95" hidden="1" customHeight="1">
      <c r="A1004" s="93"/>
      <c r="B1004" s="93"/>
      <c r="C1004" s="94"/>
      <c r="D1004" s="95"/>
      <c r="E1004" s="95"/>
      <c r="F1004" s="95"/>
      <c r="G1004" s="95">
        <f>ROUND(E1004*F1004,2)</f>
        <v>0</v>
      </c>
      <c r="H1004" s="97">
        <v>0</v>
      </c>
    </row>
    <row r="1005" spans="1:8" s="69" customFormat="1" ht="15.95" hidden="1" customHeight="1">
      <c r="A1005" s="93"/>
      <c r="B1005" s="93"/>
      <c r="C1005" s="94"/>
      <c r="D1005" s="95"/>
      <c r="E1005" s="95"/>
      <c r="F1005" s="95"/>
      <c r="G1005" s="95">
        <f>ROUND(E1005*F1005,2)</f>
        <v>0</v>
      </c>
      <c r="H1005" s="97">
        <v>0</v>
      </c>
    </row>
    <row r="1006" spans="1:8" s="69" customFormat="1" ht="15.95" hidden="1" customHeight="1">
      <c r="A1006" s="93"/>
      <c r="B1006" s="93"/>
      <c r="C1006" s="94"/>
      <c r="D1006" s="95"/>
      <c r="E1006" s="95"/>
      <c r="F1006" s="95"/>
      <c r="G1006" s="95">
        <f>ROUND(E1006*F1006,2)</f>
        <v>0</v>
      </c>
      <c r="H1006" s="97">
        <v>0</v>
      </c>
    </row>
    <row r="1007" spans="1:8" s="69" customFormat="1" ht="15.95" hidden="1" customHeight="1">
      <c r="A1007" s="90" t="s">
        <v>473</v>
      </c>
      <c r="B1007" s="90" t="s">
        <v>473</v>
      </c>
      <c r="C1007" s="91" t="s">
        <v>474</v>
      </c>
      <c r="D1007" s="82"/>
      <c r="E1007" s="82"/>
      <c r="F1007" s="82"/>
      <c r="G1007" s="82">
        <f>SUM(G1008:G1010)</f>
        <v>0</v>
      </c>
      <c r="H1007" s="97"/>
    </row>
    <row r="1008" spans="1:8" s="69" customFormat="1" ht="15.95" hidden="1" customHeight="1">
      <c r="A1008" s="93"/>
      <c r="B1008" s="93"/>
      <c r="C1008" s="94"/>
      <c r="D1008" s="95"/>
      <c r="E1008" s="95"/>
      <c r="F1008" s="95"/>
      <c r="G1008" s="95">
        <f>ROUND(E1008*F1008,2)</f>
        <v>0</v>
      </c>
      <c r="H1008" s="97">
        <v>0</v>
      </c>
    </row>
    <row r="1009" spans="1:8" s="69" customFormat="1" ht="15.95" hidden="1" customHeight="1">
      <c r="A1009" s="93"/>
      <c r="B1009" s="93"/>
      <c r="C1009" s="94"/>
      <c r="D1009" s="95"/>
      <c r="E1009" s="95"/>
      <c r="F1009" s="95"/>
      <c r="G1009" s="95">
        <f>ROUND(E1009*F1009,2)</f>
        <v>0</v>
      </c>
      <c r="H1009" s="97">
        <v>0</v>
      </c>
    </row>
    <row r="1010" spans="1:8" s="69" customFormat="1" ht="15.95" hidden="1" customHeight="1">
      <c r="A1010" s="93"/>
      <c r="B1010" s="93"/>
      <c r="C1010" s="94"/>
      <c r="D1010" s="95"/>
      <c r="E1010" s="95"/>
      <c r="F1010" s="95"/>
      <c r="G1010" s="95">
        <f>ROUND(E1010*F1010,2)</f>
        <v>0</v>
      </c>
      <c r="H1010" s="97">
        <v>0</v>
      </c>
    </row>
    <row r="1011" spans="1:8" s="69" customFormat="1" ht="15.95" hidden="1" customHeight="1">
      <c r="A1011" s="90" t="s">
        <v>475</v>
      </c>
      <c r="B1011" s="90" t="s">
        <v>475</v>
      </c>
      <c r="C1011" s="91" t="s">
        <v>476</v>
      </c>
      <c r="D1011" s="82"/>
      <c r="E1011" s="82"/>
      <c r="F1011" s="82"/>
      <c r="G1011" s="82">
        <f>SUM(G1012:G1014)</f>
        <v>0</v>
      </c>
      <c r="H1011" s="97"/>
    </row>
    <row r="1012" spans="1:8" s="69" customFormat="1" ht="15.95" hidden="1" customHeight="1">
      <c r="A1012" s="93"/>
      <c r="B1012" s="93"/>
      <c r="C1012" s="94"/>
      <c r="D1012" s="95"/>
      <c r="E1012" s="95"/>
      <c r="F1012" s="95"/>
      <c r="G1012" s="95">
        <f>ROUND(E1012*F1012,2)</f>
        <v>0</v>
      </c>
      <c r="H1012" s="97">
        <v>0</v>
      </c>
    </row>
    <row r="1013" spans="1:8" s="69" customFormat="1" ht="15.95" hidden="1" customHeight="1">
      <c r="A1013" s="93"/>
      <c r="B1013" s="93"/>
      <c r="C1013" s="94"/>
      <c r="D1013" s="95"/>
      <c r="E1013" s="95"/>
      <c r="F1013" s="95"/>
      <c r="G1013" s="95">
        <f>ROUND(E1013*F1013,2)</f>
        <v>0</v>
      </c>
      <c r="H1013" s="97">
        <v>0</v>
      </c>
    </row>
    <row r="1014" spans="1:8" s="69" customFormat="1" ht="15.95" hidden="1" customHeight="1">
      <c r="A1014" s="93"/>
      <c r="B1014" s="93"/>
      <c r="C1014" s="94"/>
      <c r="D1014" s="95"/>
      <c r="E1014" s="95"/>
      <c r="F1014" s="95"/>
      <c r="G1014" s="95">
        <f>ROUND(E1014*F1014,2)</f>
        <v>0</v>
      </c>
      <c r="H1014" s="97">
        <v>0</v>
      </c>
    </row>
    <row r="1015" spans="1:8" s="69" customFormat="1" ht="15.95" hidden="1" customHeight="1">
      <c r="A1015" s="90" t="s">
        <v>477</v>
      </c>
      <c r="B1015" s="90" t="s">
        <v>477</v>
      </c>
      <c r="C1015" s="91" t="s">
        <v>478</v>
      </c>
      <c r="D1015" s="82"/>
      <c r="E1015" s="82"/>
      <c r="F1015" s="82"/>
      <c r="G1015" s="82">
        <f>SUM(G1016:G1018)</f>
        <v>0</v>
      </c>
      <c r="H1015" s="97"/>
    </row>
    <row r="1016" spans="1:8" s="69" customFormat="1" ht="15.95" hidden="1" customHeight="1">
      <c r="A1016" s="93"/>
      <c r="B1016" s="93"/>
      <c r="C1016" s="94"/>
      <c r="D1016" s="95"/>
      <c r="E1016" s="95"/>
      <c r="F1016" s="95"/>
      <c r="G1016" s="95">
        <f>ROUND(E1016*F1016,2)</f>
        <v>0</v>
      </c>
      <c r="H1016" s="97">
        <v>0</v>
      </c>
    </row>
    <row r="1017" spans="1:8" s="69" customFormat="1" ht="15.95" hidden="1" customHeight="1">
      <c r="A1017" s="93"/>
      <c r="B1017" s="93"/>
      <c r="C1017" s="94"/>
      <c r="D1017" s="95"/>
      <c r="E1017" s="95"/>
      <c r="F1017" s="95"/>
      <c r="G1017" s="95">
        <f>ROUND(E1017*F1017,2)</f>
        <v>0</v>
      </c>
      <c r="H1017" s="97">
        <v>0</v>
      </c>
    </row>
    <row r="1018" spans="1:8" s="69" customFormat="1" ht="15.95" hidden="1" customHeight="1">
      <c r="A1018" s="93"/>
      <c r="B1018" s="93"/>
      <c r="C1018" s="94"/>
      <c r="D1018" s="95"/>
      <c r="E1018" s="95"/>
      <c r="F1018" s="95"/>
      <c r="G1018" s="95">
        <f>ROUND(E1018*F1018,2)</f>
        <v>0</v>
      </c>
      <c r="H1018" s="97">
        <v>0</v>
      </c>
    </row>
    <row r="1019" spans="1:8" s="69" customFormat="1" ht="15.95" hidden="1" customHeight="1">
      <c r="A1019" s="90" t="s">
        <v>479</v>
      </c>
      <c r="B1019" s="90" t="s">
        <v>479</v>
      </c>
      <c r="C1019" s="91" t="s">
        <v>480</v>
      </c>
      <c r="D1019" s="82"/>
      <c r="E1019" s="82"/>
      <c r="F1019" s="82"/>
      <c r="G1019" s="82">
        <f>SUM(G1020:G1022)</f>
        <v>0</v>
      </c>
      <c r="H1019" s="97"/>
    </row>
    <row r="1020" spans="1:8" s="69" customFormat="1" ht="15.95" hidden="1" customHeight="1">
      <c r="A1020" s="93"/>
      <c r="B1020" s="93"/>
      <c r="C1020" s="94"/>
      <c r="D1020" s="95"/>
      <c r="E1020" s="95"/>
      <c r="F1020" s="95"/>
      <c r="G1020" s="95">
        <f>ROUND(E1020*F1020,2)</f>
        <v>0</v>
      </c>
      <c r="H1020" s="97">
        <v>0</v>
      </c>
    </row>
    <row r="1021" spans="1:8" s="69" customFormat="1" ht="15.95" hidden="1" customHeight="1">
      <c r="A1021" s="93"/>
      <c r="B1021" s="93"/>
      <c r="C1021" s="94"/>
      <c r="D1021" s="95"/>
      <c r="E1021" s="95"/>
      <c r="F1021" s="95"/>
      <c r="G1021" s="95">
        <f>ROUND(E1021*F1021,2)</f>
        <v>0</v>
      </c>
      <c r="H1021" s="97">
        <v>0</v>
      </c>
    </row>
    <row r="1022" spans="1:8" s="69" customFormat="1" ht="15.95" hidden="1" customHeight="1">
      <c r="A1022" s="93"/>
      <c r="B1022" s="93"/>
      <c r="C1022" s="94"/>
      <c r="D1022" s="95"/>
      <c r="E1022" s="95"/>
      <c r="F1022" s="95"/>
      <c r="G1022" s="95">
        <f>ROUND(E1022*F1022,2)</f>
        <v>0</v>
      </c>
      <c r="H1022" s="97">
        <v>0</v>
      </c>
    </row>
    <row r="1023" spans="1:8" s="69" customFormat="1" ht="15.95" hidden="1" customHeight="1">
      <c r="A1023" s="90" t="s">
        <v>481</v>
      </c>
      <c r="B1023" s="90" t="s">
        <v>481</v>
      </c>
      <c r="C1023" s="91" t="s">
        <v>482</v>
      </c>
      <c r="D1023" s="82"/>
      <c r="E1023" s="82"/>
      <c r="F1023" s="82"/>
      <c r="G1023" s="82">
        <f>SUM(G1024:G1026)</f>
        <v>0</v>
      </c>
      <c r="H1023" s="97"/>
    </row>
    <row r="1024" spans="1:8" s="69" customFormat="1" ht="15.95" hidden="1" customHeight="1">
      <c r="A1024" s="93"/>
      <c r="B1024" s="93"/>
      <c r="C1024" s="94"/>
      <c r="D1024" s="95"/>
      <c r="E1024" s="95"/>
      <c r="F1024" s="95"/>
      <c r="G1024" s="95">
        <f>ROUND(E1024*F1024,2)</f>
        <v>0</v>
      </c>
      <c r="H1024" s="97">
        <v>0</v>
      </c>
    </row>
    <row r="1025" spans="1:8" s="69" customFormat="1" ht="15.95" hidden="1" customHeight="1">
      <c r="A1025" s="93"/>
      <c r="B1025" s="93"/>
      <c r="C1025" s="94"/>
      <c r="D1025" s="95"/>
      <c r="E1025" s="95"/>
      <c r="F1025" s="95"/>
      <c r="G1025" s="95">
        <f>ROUND(E1025*F1025,2)</f>
        <v>0</v>
      </c>
      <c r="H1025" s="97">
        <v>0</v>
      </c>
    </row>
    <row r="1026" spans="1:8" s="69" customFormat="1" ht="15.95" hidden="1" customHeight="1">
      <c r="A1026" s="93"/>
      <c r="B1026" s="93"/>
      <c r="C1026" s="94"/>
      <c r="D1026" s="95"/>
      <c r="E1026" s="95"/>
      <c r="F1026" s="95"/>
      <c r="G1026" s="95">
        <f>ROUND(E1026*F1026,2)</f>
        <v>0</v>
      </c>
      <c r="H1026" s="97">
        <v>0</v>
      </c>
    </row>
    <row r="1027" spans="1:8" s="69" customFormat="1" ht="15.95" hidden="1" customHeight="1">
      <c r="A1027" s="90" t="s">
        <v>483</v>
      </c>
      <c r="B1027" s="90" t="s">
        <v>483</v>
      </c>
      <c r="C1027" s="91" t="s">
        <v>484</v>
      </c>
      <c r="D1027" s="82"/>
      <c r="E1027" s="82"/>
      <c r="F1027" s="82"/>
      <c r="G1027" s="82">
        <f>SUM(G1028:G1030)</f>
        <v>0</v>
      </c>
      <c r="H1027" s="97"/>
    </row>
    <row r="1028" spans="1:8" s="69" customFormat="1" ht="15.95" hidden="1" customHeight="1">
      <c r="A1028" s="93"/>
      <c r="B1028" s="93"/>
      <c r="C1028" s="94"/>
      <c r="D1028" s="95"/>
      <c r="E1028" s="95"/>
      <c r="F1028" s="95"/>
      <c r="G1028" s="95">
        <f>ROUND(E1028*F1028,2)</f>
        <v>0</v>
      </c>
      <c r="H1028" s="97">
        <v>0</v>
      </c>
    </row>
    <row r="1029" spans="1:8" s="69" customFormat="1" ht="15.95" hidden="1" customHeight="1">
      <c r="A1029" s="93"/>
      <c r="B1029" s="93"/>
      <c r="C1029" s="94"/>
      <c r="D1029" s="95"/>
      <c r="E1029" s="95"/>
      <c r="F1029" s="95"/>
      <c r="G1029" s="95">
        <f>ROUND(E1029*F1029,2)</f>
        <v>0</v>
      </c>
      <c r="H1029" s="97">
        <v>0</v>
      </c>
    </row>
    <row r="1030" spans="1:8" s="69" customFormat="1" ht="15.95" hidden="1" customHeight="1">
      <c r="A1030" s="93"/>
      <c r="B1030" s="93"/>
      <c r="C1030" s="94"/>
      <c r="D1030" s="95"/>
      <c r="E1030" s="95"/>
      <c r="F1030" s="95"/>
      <c r="G1030" s="95">
        <f>ROUND(E1030*F1030,2)</f>
        <v>0</v>
      </c>
      <c r="H1030" s="97">
        <v>0</v>
      </c>
    </row>
    <row r="1031" spans="1:8" s="69" customFormat="1" ht="15.95" hidden="1" customHeight="1">
      <c r="A1031" s="90" t="s">
        <v>485</v>
      </c>
      <c r="B1031" s="90" t="s">
        <v>485</v>
      </c>
      <c r="C1031" s="91" t="s">
        <v>486</v>
      </c>
      <c r="D1031" s="82"/>
      <c r="E1031" s="82"/>
      <c r="F1031" s="82"/>
      <c r="G1031" s="82">
        <f>SUM(G1032:G1034)</f>
        <v>0</v>
      </c>
      <c r="H1031" s="97"/>
    </row>
    <row r="1032" spans="1:8" s="69" customFormat="1" ht="15.95" hidden="1" customHeight="1">
      <c r="A1032" s="93"/>
      <c r="B1032" s="93"/>
      <c r="C1032" s="94"/>
      <c r="D1032" s="95"/>
      <c r="E1032" s="95"/>
      <c r="F1032" s="95"/>
      <c r="G1032" s="95">
        <f>ROUND(E1032*F1032,2)</f>
        <v>0</v>
      </c>
      <c r="H1032" s="97">
        <v>0</v>
      </c>
    </row>
    <row r="1033" spans="1:8" s="69" customFormat="1" ht="15.95" hidden="1" customHeight="1">
      <c r="A1033" s="93"/>
      <c r="B1033" s="93"/>
      <c r="C1033" s="94"/>
      <c r="D1033" s="95"/>
      <c r="E1033" s="95"/>
      <c r="F1033" s="95"/>
      <c r="G1033" s="95">
        <f>ROUND(E1033*F1033,2)</f>
        <v>0</v>
      </c>
      <c r="H1033" s="97">
        <v>0</v>
      </c>
    </row>
    <row r="1034" spans="1:8" s="69" customFormat="1" ht="15.95" hidden="1" customHeight="1">
      <c r="A1034" s="93"/>
      <c r="B1034" s="93"/>
      <c r="C1034" s="94"/>
      <c r="D1034" s="95"/>
      <c r="E1034" s="95"/>
      <c r="F1034" s="95"/>
      <c r="G1034" s="95">
        <f>ROUND(E1034*F1034,2)</f>
        <v>0</v>
      </c>
      <c r="H1034" s="97">
        <v>0</v>
      </c>
    </row>
    <row r="1035" spans="1:8" s="69" customFormat="1" ht="15.95" hidden="1" customHeight="1">
      <c r="A1035" s="90" t="s">
        <v>487</v>
      </c>
      <c r="B1035" s="90" t="s">
        <v>487</v>
      </c>
      <c r="C1035" s="91" t="s">
        <v>488</v>
      </c>
      <c r="D1035" s="82"/>
      <c r="E1035" s="82"/>
      <c r="F1035" s="82"/>
      <c r="G1035" s="82">
        <f>SUM(G1036:G1038)</f>
        <v>0</v>
      </c>
      <c r="H1035" s="97"/>
    </row>
    <row r="1036" spans="1:8" s="69" customFormat="1" ht="15.95" hidden="1" customHeight="1">
      <c r="A1036" s="93"/>
      <c r="B1036" s="93"/>
      <c r="C1036" s="94"/>
      <c r="D1036" s="95"/>
      <c r="E1036" s="95"/>
      <c r="F1036" s="95"/>
      <c r="G1036" s="95">
        <f>ROUND(E1036*F1036,2)</f>
        <v>0</v>
      </c>
      <c r="H1036" s="97">
        <v>0</v>
      </c>
    </row>
    <row r="1037" spans="1:8" s="69" customFormat="1" ht="15.95" hidden="1" customHeight="1">
      <c r="A1037" s="93"/>
      <c r="B1037" s="93"/>
      <c r="C1037" s="94"/>
      <c r="D1037" s="95"/>
      <c r="E1037" s="95"/>
      <c r="F1037" s="95"/>
      <c r="G1037" s="95">
        <f>ROUND(E1037*F1037,2)</f>
        <v>0</v>
      </c>
      <c r="H1037" s="97">
        <v>0</v>
      </c>
    </row>
    <row r="1038" spans="1:8" s="69" customFormat="1" ht="15.95" hidden="1" customHeight="1">
      <c r="A1038" s="93"/>
      <c r="B1038" s="93"/>
      <c r="C1038" s="94"/>
      <c r="D1038" s="95"/>
      <c r="E1038" s="95"/>
      <c r="F1038" s="95"/>
      <c r="G1038" s="95">
        <f>ROUND(E1038*F1038,2)</f>
        <v>0</v>
      </c>
      <c r="H1038" s="97">
        <v>0</v>
      </c>
    </row>
    <row r="1039" spans="1:8" s="69" customFormat="1" ht="15.95" hidden="1" customHeight="1">
      <c r="A1039" s="90" t="s">
        <v>489</v>
      </c>
      <c r="B1039" s="90" t="s">
        <v>489</v>
      </c>
      <c r="C1039" s="91" t="s">
        <v>490</v>
      </c>
      <c r="D1039" s="82"/>
      <c r="E1039" s="82"/>
      <c r="F1039" s="82"/>
      <c r="G1039" s="82">
        <f>SUM(G1040:G1042)</f>
        <v>0</v>
      </c>
      <c r="H1039" s="97"/>
    </row>
    <row r="1040" spans="1:8" s="69" customFormat="1" ht="15.95" hidden="1" customHeight="1">
      <c r="A1040" s="93"/>
      <c r="B1040" s="93"/>
      <c r="C1040" s="94"/>
      <c r="D1040" s="95"/>
      <c r="E1040" s="95"/>
      <c r="F1040" s="95"/>
      <c r="G1040" s="95">
        <f>ROUND(E1040*F1040,2)</f>
        <v>0</v>
      </c>
      <c r="H1040" s="97">
        <v>0</v>
      </c>
    </row>
    <row r="1041" spans="1:8" s="69" customFormat="1" ht="15.95" hidden="1" customHeight="1">
      <c r="A1041" s="93"/>
      <c r="B1041" s="93"/>
      <c r="C1041" s="94"/>
      <c r="D1041" s="95"/>
      <c r="E1041" s="95"/>
      <c r="F1041" s="95"/>
      <c r="G1041" s="95">
        <f>ROUND(E1041*F1041,2)</f>
        <v>0</v>
      </c>
      <c r="H1041" s="97">
        <v>0</v>
      </c>
    </row>
    <row r="1042" spans="1:8" s="69" customFormat="1" ht="15.95" hidden="1" customHeight="1">
      <c r="A1042" s="93"/>
      <c r="B1042" s="93"/>
      <c r="C1042" s="94"/>
      <c r="D1042" s="95"/>
      <c r="E1042" s="95"/>
      <c r="F1042" s="95"/>
      <c r="G1042" s="95">
        <f>ROUND(E1042*F1042,2)</f>
        <v>0</v>
      </c>
      <c r="H1042" s="97">
        <v>0</v>
      </c>
    </row>
    <row r="1043" spans="1:8" s="69" customFormat="1" ht="15.95" hidden="1" customHeight="1">
      <c r="A1043" s="90" t="s">
        <v>491</v>
      </c>
      <c r="B1043" s="90" t="s">
        <v>491</v>
      </c>
      <c r="C1043" s="91" t="s">
        <v>492</v>
      </c>
      <c r="D1043" s="82"/>
      <c r="E1043" s="82"/>
      <c r="F1043" s="82"/>
      <c r="G1043" s="82">
        <f>SUM(G1044:G1046)</f>
        <v>0</v>
      </c>
      <c r="H1043" s="97"/>
    </row>
    <row r="1044" spans="1:8" s="69" customFormat="1" ht="15.95" hidden="1" customHeight="1">
      <c r="A1044" s="93"/>
      <c r="B1044" s="93"/>
      <c r="C1044" s="94"/>
      <c r="D1044" s="95"/>
      <c r="E1044" s="95"/>
      <c r="F1044" s="95"/>
      <c r="G1044" s="95">
        <f>ROUND(E1044*F1044,2)</f>
        <v>0</v>
      </c>
      <c r="H1044" s="96">
        <v>0</v>
      </c>
    </row>
    <row r="1045" spans="1:8" s="69" customFormat="1" ht="15.95" hidden="1" customHeight="1">
      <c r="A1045" s="93"/>
      <c r="B1045" s="93"/>
      <c r="C1045" s="94"/>
      <c r="D1045" s="95"/>
      <c r="E1045" s="95"/>
      <c r="F1045" s="95"/>
      <c r="G1045" s="95">
        <f>ROUND(E1045*F1045,2)</f>
        <v>0</v>
      </c>
      <c r="H1045" s="96">
        <v>0</v>
      </c>
    </row>
    <row r="1046" spans="1:8" s="69" customFormat="1" ht="15.95" hidden="1" customHeight="1">
      <c r="A1046" s="93"/>
      <c r="B1046" s="93"/>
      <c r="C1046" s="94"/>
      <c r="D1046" s="95"/>
      <c r="E1046" s="95"/>
      <c r="F1046" s="95"/>
      <c r="G1046" s="95">
        <f>ROUND(E1046*F1046,2)</f>
        <v>0</v>
      </c>
      <c r="H1046" s="96">
        <v>0</v>
      </c>
    </row>
    <row r="1047" spans="1:8" s="69" customFormat="1" ht="15.95" hidden="1" customHeight="1">
      <c r="A1047" s="90" t="s">
        <v>493</v>
      </c>
      <c r="B1047" s="90" t="s">
        <v>493</v>
      </c>
      <c r="C1047" s="91" t="s">
        <v>494</v>
      </c>
      <c r="D1047" s="82"/>
      <c r="E1047" s="82"/>
      <c r="F1047" s="82"/>
      <c r="G1047" s="82">
        <f>SUM(G1048:G1050)</f>
        <v>0</v>
      </c>
      <c r="H1047" s="97"/>
    </row>
    <row r="1048" spans="1:8" s="69" customFormat="1" ht="15.95" hidden="1" customHeight="1">
      <c r="A1048" s="93"/>
      <c r="B1048" s="93"/>
      <c r="C1048" s="94"/>
      <c r="D1048" s="95"/>
      <c r="E1048" s="95"/>
      <c r="F1048" s="95"/>
      <c r="G1048" s="95">
        <f>ROUND(E1048*F1048,2)</f>
        <v>0</v>
      </c>
      <c r="H1048" s="96">
        <v>0</v>
      </c>
    </row>
    <row r="1049" spans="1:8" s="69" customFormat="1" ht="15.95" hidden="1" customHeight="1">
      <c r="A1049" s="93"/>
      <c r="B1049" s="93"/>
      <c r="C1049" s="94"/>
      <c r="D1049" s="95"/>
      <c r="E1049" s="95"/>
      <c r="F1049" s="95"/>
      <c r="G1049" s="95">
        <f>ROUND(E1049*F1049,2)</f>
        <v>0</v>
      </c>
      <c r="H1049" s="96">
        <v>0</v>
      </c>
    </row>
    <row r="1050" spans="1:8" s="69" customFormat="1" ht="15.95" hidden="1" customHeight="1">
      <c r="A1050" s="93"/>
      <c r="B1050" s="93"/>
      <c r="C1050" s="94"/>
      <c r="D1050" s="95"/>
      <c r="E1050" s="95"/>
      <c r="F1050" s="95"/>
      <c r="G1050" s="95">
        <f>ROUND(E1050*F1050,2)</f>
        <v>0</v>
      </c>
      <c r="H1050" s="96">
        <v>0</v>
      </c>
    </row>
    <row r="1051" spans="1:8" s="69" customFormat="1" ht="15.95" hidden="1" customHeight="1">
      <c r="A1051" s="90" t="s">
        <v>495</v>
      </c>
      <c r="B1051" s="90" t="s">
        <v>495</v>
      </c>
      <c r="C1051" s="91" t="s">
        <v>496</v>
      </c>
      <c r="D1051" s="82"/>
      <c r="E1051" s="82"/>
      <c r="F1051" s="82"/>
      <c r="G1051" s="82">
        <f>SUM(G1052:G1054)</f>
        <v>0</v>
      </c>
      <c r="H1051" s="97"/>
    </row>
    <row r="1052" spans="1:8" s="69" customFormat="1" ht="15.95" hidden="1" customHeight="1">
      <c r="A1052" s="93"/>
      <c r="B1052" s="93"/>
      <c r="C1052" s="94"/>
      <c r="D1052" s="95"/>
      <c r="E1052" s="95"/>
      <c r="F1052" s="95"/>
      <c r="G1052" s="95">
        <f>ROUND(E1052*F1052,2)</f>
        <v>0</v>
      </c>
      <c r="H1052" s="96">
        <v>0</v>
      </c>
    </row>
    <row r="1053" spans="1:8" s="69" customFormat="1" ht="15.95" hidden="1" customHeight="1">
      <c r="A1053" s="93"/>
      <c r="B1053" s="93"/>
      <c r="C1053" s="94"/>
      <c r="D1053" s="95"/>
      <c r="E1053" s="95"/>
      <c r="F1053" s="95"/>
      <c r="G1053" s="95">
        <f>ROUND(E1053*F1053,2)</f>
        <v>0</v>
      </c>
      <c r="H1053" s="96">
        <v>0</v>
      </c>
    </row>
    <row r="1054" spans="1:8" s="69" customFormat="1" ht="15.95" hidden="1" customHeight="1">
      <c r="A1054" s="93"/>
      <c r="B1054" s="93"/>
      <c r="C1054" s="94"/>
      <c r="D1054" s="95"/>
      <c r="E1054" s="95"/>
      <c r="F1054" s="95"/>
      <c r="G1054" s="95">
        <f>ROUND(E1054*F1054,2)</f>
        <v>0</v>
      </c>
      <c r="H1054" s="96">
        <v>0</v>
      </c>
    </row>
    <row r="1055" spans="1:8" s="69" customFormat="1" ht="15.95" hidden="1" customHeight="1">
      <c r="A1055" s="90" t="s">
        <v>497</v>
      </c>
      <c r="B1055" s="90" t="s">
        <v>497</v>
      </c>
      <c r="C1055" s="91" t="s">
        <v>498</v>
      </c>
      <c r="D1055" s="82"/>
      <c r="E1055" s="82"/>
      <c r="F1055" s="82"/>
      <c r="G1055" s="82">
        <f>SUM(G1056:G1058)</f>
        <v>0</v>
      </c>
      <c r="H1055" s="97"/>
    </row>
    <row r="1056" spans="1:8" s="69" customFormat="1" ht="15.95" hidden="1" customHeight="1">
      <c r="A1056" s="93"/>
      <c r="B1056" s="93"/>
      <c r="C1056" s="94"/>
      <c r="D1056" s="95"/>
      <c r="E1056" s="95"/>
      <c r="F1056" s="95"/>
      <c r="G1056" s="95">
        <f>ROUND(E1056*F1056,2)</f>
        <v>0</v>
      </c>
      <c r="H1056" s="96">
        <v>0</v>
      </c>
    </row>
    <row r="1057" spans="1:8" s="69" customFormat="1" ht="15.95" hidden="1" customHeight="1">
      <c r="A1057" s="93"/>
      <c r="B1057" s="93"/>
      <c r="C1057" s="94"/>
      <c r="D1057" s="95"/>
      <c r="E1057" s="95"/>
      <c r="F1057" s="95"/>
      <c r="G1057" s="95">
        <f>ROUND(E1057*F1057,2)</f>
        <v>0</v>
      </c>
      <c r="H1057" s="96">
        <v>0</v>
      </c>
    </row>
    <row r="1058" spans="1:8" s="69" customFormat="1" ht="15.95" hidden="1" customHeight="1">
      <c r="A1058" s="93"/>
      <c r="B1058" s="93"/>
      <c r="C1058" s="94"/>
      <c r="D1058" s="95"/>
      <c r="E1058" s="95"/>
      <c r="F1058" s="95"/>
      <c r="G1058" s="95">
        <f>ROUND(E1058*F1058,2)</f>
        <v>0</v>
      </c>
      <c r="H1058" s="96">
        <v>0</v>
      </c>
    </row>
    <row r="1059" spans="1:8" s="69" customFormat="1" ht="15.95" hidden="1" customHeight="1">
      <c r="A1059" s="90" t="s">
        <v>499</v>
      </c>
      <c r="B1059" s="90" t="s">
        <v>499</v>
      </c>
      <c r="C1059" s="91" t="s">
        <v>500</v>
      </c>
      <c r="D1059" s="82"/>
      <c r="E1059" s="82"/>
      <c r="F1059" s="82"/>
      <c r="G1059" s="82">
        <f>SUM(G1060:G1062)</f>
        <v>0</v>
      </c>
      <c r="H1059" s="97"/>
    </row>
    <row r="1060" spans="1:8" s="69" customFormat="1" ht="15.95" hidden="1" customHeight="1">
      <c r="A1060" s="93"/>
      <c r="B1060" s="93"/>
      <c r="C1060" s="94"/>
      <c r="D1060" s="95"/>
      <c r="E1060" s="95"/>
      <c r="F1060" s="95"/>
      <c r="G1060" s="95">
        <f>ROUND(E1060*F1060,2)</f>
        <v>0</v>
      </c>
      <c r="H1060" s="96">
        <v>0</v>
      </c>
    </row>
    <row r="1061" spans="1:8" s="69" customFormat="1" ht="15.95" hidden="1" customHeight="1">
      <c r="A1061" s="93"/>
      <c r="B1061" s="93"/>
      <c r="C1061" s="94"/>
      <c r="D1061" s="95"/>
      <c r="E1061" s="95"/>
      <c r="F1061" s="95"/>
      <c r="G1061" s="95">
        <f>ROUND(E1061*F1061,2)</f>
        <v>0</v>
      </c>
      <c r="H1061" s="96">
        <v>0</v>
      </c>
    </row>
    <row r="1062" spans="1:8" s="69" customFormat="1" ht="15.95" hidden="1" customHeight="1">
      <c r="A1062" s="93"/>
      <c r="B1062" s="93"/>
      <c r="C1062" s="94"/>
      <c r="D1062" s="95"/>
      <c r="E1062" s="95"/>
      <c r="F1062" s="95"/>
      <c r="G1062" s="95">
        <f>ROUND(E1062*F1062,2)</f>
        <v>0</v>
      </c>
      <c r="H1062" s="96">
        <v>0</v>
      </c>
    </row>
    <row r="1063" spans="1:8" s="69" customFormat="1" ht="15.95" hidden="1" customHeight="1">
      <c r="A1063" s="83"/>
      <c r="B1063" s="83"/>
      <c r="C1063" s="84" t="s">
        <v>501</v>
      </c>
      <c r="D1063" s="85"/>
      <c r="E1063" s="85"/>
      <c r="F1063" s="85"/>
      <c r="G1063" s="85"/>
      <c r="H1063" s="97"/>
    </row>
    <row r="1064" spans="1:8" s="69" customFormat="1" ht="15.95" hidden="1" customHeight="1">
      <c r="A1064" s="106" t="s">
        <v>502</v>
      </c>
      <c r="B1064" s="106" t="s">
        <v>502</v>
      </c>
      <c r="C1064" s="88" t="s">
        <v>503</v>
      </c>
      <c r="D1064" s="89"/>
      <c r="E1064" s="89"/>
      <c r="F1064" s="89"/>
      <c r="G1064" s="89">
        <f>SG_13_01+SG_13_02+SG_13_03+SG_13_04+SG_13_05+SG_13_06+SG_13_07+SG_13_08+SG_13_09+SG_13_10+SG_13_11+SG_13_12+SG_13_13+SG_13_14+SG_13_15+SG_13_16+SG_13_17+SG_13_18+SG_13_19+SG_13_20</f>
        <v>0</v>
      </c>
      <c r="H1064" s="97"/>
    </row>
    <row r="1065" spans="1:8" s="69" customFormat="1" ht="15.95" hidden="1" customHeight="1">
      <c r="A1065" s="90" t="s">
        <v>504</v>
      </c>
      <c r="B1065" s="90" t="s">
        <v>504</v>
      </c>
      <c r="C1065" s="91" t="s">
        <v>505</v>
      </c>
      <c r="D1065" s="82"/>
      <c r="E1065" s="82"/>
      <c r="F1065" s="82"/>
      <c r="G1065" s="82">
        <f>SUM(G1066:G1068)</f>
        <v>0</v>
      </c>
      <c r="H1065" s="97"/>
    </row>
    <row r="1066" spans="1:8" s="69" customFormat="1" ht="15.95" hidden="1" customHeight="1">
      <c r="A1066" s="93"/>
      <c r="B1066" s="93"/>
      <c r="C1066" s="94"/>
      <c r="D1066" s="95"/>
      <c r="E1066" s="95"/>
      <c r="F1066" s="95"/>
      <c r="G1066" s="95">
        <f>ROUND(E1066*F1066,2)</f>
        <v>0</v>
      </c>
      <c r="H1066" s="97">
        <v>0</v>
      </c>
    </row>
    <row r="1067" spans="1:8" s="69" customFormat="1" ht="15.95" hidden="1" customHeight="1">
      <c r="A1067" s="93"/>
      <c r="B1067" s="93"/>
      <c r="C1067" s="94"/>
      <c r="D1067" s="95"/>
      <c r="E1067" s="95"/>
      <c r="F1067" s="95"/>
      <c r="G1067" s="95">
        <f>ROUND(E1067*F1067,2)</f>
        <v>0</v>
      </c>
      <c r="H1067" s="97">
        <v>0</v>
      </c>
    </row>
    <row r="1068" spans="1:8" s="69" customFormat="1" ht="15.95" hidden="1" customHeight="1">
      <c r="A1068" s="93"/>
      <c r="B1068" s="93"/>
      <c r="C1068" s="94"/>
      <c r="D1068" s="95"/>
      <c r="E1068" s="95"/>
      <c r="F1068" s="95"/>
      <c r="G1068" s="95">
        <f>ROUND(E1068*F1068,2)</f>
        <v>0</v>
      </c>
      <c r="H1068" s="97">
        <v>0</v>
      </c>
    </row>
    <row r="1069" spans="1:8" s="69" customFormat="1" ht="15.95" hidden="1" customHeight="1">
      <c r="A1069" s="90" t="s">
        <v>506</v>
      </c>
      <c r="B1069" s="90" t="s">
        <v>506</v>
      </c>
      <c r="C1069" s="91" t="s">
        <v>507</v>
      </c>
      <c r="D1069" s="82"/>
      <c r="E1069" s="82"/>
      <c r="F1069" s="82"/>
      <c r="G1069" s="82">
        <f>SUM(G1070:G1072)</f>
        <v>0</v>
      </c>
      <c r="H1069" s="97"/>
    </row>
    <row r="1070" spans="1:8" s="69" customFormat="1" ht="15.95" hidden="1" customHeight="1">
      <c r="A1070" s="93"/>
      <c r="B1070" s="93"/>
      <c r="C1070" s="94"/>
      <c r="D1070" s="95"/>
      <c r="E1070" s="95"/>
      <c r="F1070" s="95"/>
      <c r="G1070" s="95">
        <f>ROUND(E1070*F1070,2)</f>
        <v>0</v>
      </c>
      <c r="H1070" s="97">
        <v>0</v>
      </c>
    </row>
    <row r="1071" spans="1:8" s="69" customFormat="1" ht="15.95" hidden="1" customHeight="1">
      <c r="A1071" s="93"/>
      <c r="B1071" s="93"/>
      <c r="C1071" s="94"/>
      <c r="D1071" s="95"/>
      <c r="E1071" s="95"/>
      <c r="F1071" s="95"/>
      <c r="G1071" s="95">
        <f>ROUND(E1071*F1071,2)</f>
        <v>0</v>
      </c>
      <c r="H1071" s="97">
        <v>0</v>
      </c>
    </row>
    <row r="1072" spans="1:8" s="69" customFormat="1" ht="15.95" hidden="1" customHeight="1">
      <c r="A1072" s="93"/>
      <c r="B1072" s="93"/>
      <c r="C1072" s="94"/>
      <c r="D1072" s="95"/>
      <c r="E1072" s="95"/>
      <c r="F1072" s="95"/>
      <c r="G1072" s="95">
        <f>ROUND(E1072*F1072,2)</f>
        <v>0</v>
      </c>
      <c r="H1072" s="97">
        <v>0</v>
      </c>
    </row>
    <row r="1073" spans="1:8" s="69" customFormat="1" ht="15.95" hidden="1" customHeight="1">
      <c r="A1073" s="90" t="s">
        <v>508</v>
      </c>
      <c r="B1073" s="90" t="s">
        <v>508</v>
      </c>
      <c r="C1073" s="91" t="s">
        <v>509</v>
      </c>
      <c r="D1073" s="82"/>
      <c r="E1073" s="82"/>
      <c r="F1073" s="82"/>
      <c r="G1073" s="82">
        <f>SUM(G1074:G1076)</f>
        <v>0</v>
      </c>
      <c r="H1073" s="97"/>
    </row>
    <row r="1074" spans="1:8" s="69" customFormat="1" ht="15.95" hidden="1" customHeight="1">
      <c r="A1074" s="93"/>
      <c r="B1074" s="93"/>
      <c r="C1074" s="94"/>
      <c r="D1074" s="95"/>
      <c r="E1074" s="95"/>
      <c r="F1074" s="95"/>
      <c r="G1074" s="95">
        <f>ROUND(E1074*F1074,2)</f>
        <v>0</v>
      </c>
      <c r="H1074" s="97">
        <v>0</v>
      </c>
    </row>
    <row r="1075" spans="1:8" s="69" customFormat="1" ht="15.95" hidden="1" customHeight="1">
      <c r="A1075" s="93"/>
      <c r="B1075" s="93"/>
      <c r="C1075" s="94"/>
      <c r="D1075" s="95"/>
      <c r="E1075" s="95"/>
      <c r="F1075" s="95"/>
      <c r="G1075" s="95">
        <f>ROUND(E1075*F1075,2)</f>
        <v>0</v>
      </c>
      <c r="H1075" s="97">
        <v>0</v>
      </c>
    </row>
    <row r="1076" spans="1:8" s="69" customFormat="1" ht="15.95" hidden="1" customHeight="1">
      <c r="A1076" s="93"/>
      <c r="B1076" s="93"/>
      <c r="C1076" s="94"/>
      <c r="D1076" s="95"/>
      <c r="E1076" s="95"/>
      <c r="F1076" s="95"/>
      <c r="G1076" s="95">
        <f>ROUND(E1076*F1076,2)</f>
        <v>0</v>
      </c>
      <c r="H1076" s="97">
        <v>0</v>
      </c>
    </row>
    <row r="1077" spans="1:8" s="69" customFormat="1" ht="15.95" hidden="1" customHeight="1">
      <c r="A1077" s="90" t="s">
        <v>510</v>
      </c>
      <c r="B1077" s="90" t="s">
        <v>510</v>
      </c>
      <c r="C1077" s="91" t="s">
        <v>511</v>
      </c>
      <c r="D1077" s="82"/>
      <c r="E1077" s="82"/>
      <c r="F1077" s="82"/>
      <c r="G1077" s="82">
        <f>SUM(G1078:G1080)</f>
        <v>0</v>
      </c>
      <c r="H1077" s="97"/>
    </row>
    <row r="1078" spans="1:8" s="69" customFormat="1" ht="15.95" hidden="1" customHeight="1">
      <c r="A1078" s="93"/>
      <c r="B1078" s="93"/>
      <c r="C1078" s="94"/>
      <c r="D1078" s="95"/>
      <c r="E1078" s="95"/>
      <c r="F1078" s="95"/>
      <c r="G1078" s="95">
        <f>ROUND(E1078*F1078,2)</f>
        <v>0</v>
      </c>
      <c r="H1078" s="97">
        <v>0</v>
      </c>
    </row>
    <row r="1079" spans="1:8" s="69" customFormat="1" ht="15.95" hidden="1" customHeight="1">
      <c r="A1079" s="93"/>
      <c r="B1079" s="93"/>
      <c r="C1079" s="94"/>
      <c r="D1079" s="95"/>
      <c r="E1079" s="95"/>
      <c r="F1079" s="95"/>
      <c r="G1079" s="95">
        <f>ROUND(E1079*F1079,2)</f>
        <v>0</v>
      </c>
      <c r="H1079" s="97">
        <v>0</v>
      </c>
    </row>
    <row r="1080" spans="1:8" s="69" customFormat="1" ht="15.95" hidden="1" customHeight="1">
      <c r="A1080" s="93"/>
      <c r="B1080" s="93"/>
      <c r="C1080" s="94"/>
      <c r="D1080" s="95"/>
      <c r="E1080" s="95"/>
      <c r="F1080" s="95"/>
      <c r="G1080" s="95">
        <f>ROUND(E1080*F1080,2)</f>
        <v>0</v>
      </c>
      <c r="H1080" s="97">
        <v>0</v>
      </c>
    </row>
    <row r="1081" spans="1:8" s="69" customFormat="1" ht="15.95" hidden="1" customHeight="1">
      <c r="A1081" s="90" t="s">
        <v>512</v>
      </c>
      <c r="B1081" s="90" t="s">
        <v>512</v>
      </c>
      <c r="C1081" s="91" t="s">
        <v>513</v>
      </c>
      <c r="D1081" s="82"/>
      <c r="E1081" s="82"/>
      <c r="F1081" s="82"/>
      <c r="G1081" s="82">
        <f>SUM(G1082:G1084)</f>
        <v>0</v>
      </c>
      <c r="H1081" s="97"/>
    </row>
    <row r="1082" spans="1:8" s="69" customFormat="1" ht="15.95" hidden="1" customHeight="1">
      <c r="A1082" s="93"/>
      <c r="B1082" s="93"/>
      <c r="C1082" s="94"/>
      <c r="D1082" s="95"/>
      <c r="E1082" s="95"/>
      <c r="F1082" s="95"/>
      <c r="G1082" s="95">
        <f>ROUND(E1082*F1082,2)</f>
        <v>0</v>
      </c>
      <c r="H1082" s="97">
        <v>0</v>
      </c>
    </row>
    <row r="1083" spans="1:8" s="69" customFormat="1" ht="15.95" hidden="1" customHeight="1">
      <c r="A1083" s="93"/>
      <c r="B1083" s="93"/>
      <c r="C1083" s="94"/>
      <c r="D1083" s="95"/>
      <c r="E1083" s="95"/>
      <c r="F1083" s="95"/>
      <c r="G1083" s="95">
        <f>ROUND(E1083*F1083,2)</f>
        <v>0</v>
      </c>
      <c r="H1083" s="97">
        <v>0</v>
      </c>
    </row>
    <row r="1084" spans="1:8" s="69" customFormat="1" ht="15.95" hidden="1" customHeight="1">
      <c r="A1084" s="93"/>
      <c r="B1084" s="93"/>
      <c r="C1084" s="94"/>
      <c r="D1084" s="95"/>
      <c r="E1084" s="95"/>
      <c r="F1084" s="95"/>
      <c r="G1084" s="95">
        <f>ROUND(E1084*F1084,2)</f>
        <v>0</v>
      </c>
      <c r="H1084" s="97">
        <v>0</v>
      </c>
    </row>
    <row r="1085" spans="1:8" s="69" customFormat="1" ht="15.95" hidden="1" customHeight="1">
      <c r="A1085" s="90" t="s">
        <v>514</v>
      </c>
      <c r="B1085" s="90" t="s">
        <v>514</v>
      </c>
      <c r="C1085" s="91" t="s">
        <v>515</v>
      </c>
      <c r="D1085" s="82"/>
      <c r="E1085" s="82"/>
      <c r="F1085" s="82"/>
      <c r="G1085" s="82">
        <f>SUM(G1086:G1088)</f>
        <v>0</v>
      </c>
      <c r="H1085" s="97"/>
    </row>
    <row r="1086" spans="1:8" s="69" customFormat="1" ht="15.95" hidden="1" customHeight="1">
      <c r="A1086" s="93"/>
      <c r="B1086" s="93"/>
      <c r="C1086" s="94"/>
      <c r="D1086" s="95"/>
      <c r="E1086" s="95"/>
      <c r="F1086" s="95"/>
      <c r="G1086" s="95">
        <f>ROUND(E1086*F1086,2)</f>
        <v>0</v>
      </c>
      <c r="H1086" s="97">
        <v>0</v>
      </c>
    </row>
    <row r="1087" spans="1:8" s="69" customFormat="1" ht="15.95" hidden="1" customHeight="1">
      <c r="A1087" s="93"/>
      <c r="B1087" s="93"/>
      <c r="C1087" s="94"/>
      <c r="D1087" s="95"/>
      <c r="E1087" s="95"/>
      <c r="F1087" s="95"/>
      <c r="G1087" s="95">
        <f>ROUND(E1087*F1087,2)</f>
        <v>0</v>
      </c>
      <c r="H1087" s="97">
        <v>0</v>
      </c>
    </row>
    <row r="1088" spans="1:8" s="69" customFormat="1" ht="15.95" hidden="1" customHeight="1">
      <c r="A1088" s="93"/>
      <c r="B1088" s="93"/>
      <c r="C1088" s="94"/>
      <c r="D1088" s="95"/>
      <c r="E1088" s="95"/>
      <c r="F1088" s="95"/>
      <c r="G1088" s="95">
        <f>ROUND(E1088*F1088,2)</f>
        <v>0</v>
      </c>
      <c r="H1088" s="97">
        <v>0</v>
      </c>
    </row>
    <row r="1089" spans="1:8" s="69" customFormat="1" ht="15.95" hidden="1" customHeight="1">
      <c r="A1089" s="90" t="s">
        <v>516</v>
      </c>
      <c r="B1089" s="90" t="s">
        <v>516</v>
      </c>
      <c r="C1089" s="91" t="s">
        <v>517</v>
      </c>
      <c r="D1089" s="82"/>
      <c r="E1089" s="82"/>
      <c r="F1089" s="82"/>
      <c r="G1089" s="82">
        <f>SUM(G1090:G1092)</f>
        <v>0</v>
      </c>
      <c r="H1089" s="97"/>
    </row>
    <row r="1090" spans="1:8" s="69" customFormat="1" ht="15.95" hidden="1" customHeight="1">
      <c r="A1090" s="93"/>
      <c r="B1090" s="93"/>
      <c r="C1090" s="94"/>
      <c r="D1090" s="95"/>
      <c r="E1090" s="95"/>
      <c r="F1090" s="95"/>
      <c r="G1090" s="95">
        <f>ROUND(E1090*F1090,2)</f>
        <v>0</v>
      </c>
      <c r="H1090" s="97">
        <v>0</v>
      </c>
    </row>
    <row r="1091" spans="1:8" s="69" customFormat="1" ht="15.95" hidden="1" customHeight="1">
      <c r="A1091" s="93"/>
      <c r="B1091" s="93"/>
      <c r="C1091" s="94"/>
      <c r="D1091" s="95"/>
      <c r="E1091" s="95"/>
      <c r="F1091" s="95"/>
      <c r="G1091" s="95">
        <f>ROUND(E1091*F1091,2)</f>
        <v>0</v>
      </c>
      <c r="H1091" s="97">
        <v>0</v>
      </c>
    </row>
    <row r="1092" spans="1:8" s="69" customFormat="1" ht="15.95" hidden="1" customHeight="1">
      <c r="A1092" s="93"/>
      <c r="B1092" s="93"/>
      <c r="C1092" s="94"/>
      <c r="D1092" s="95"/>
      <c r="E1092" s="95"/>
      <c r="F1092" s="95"/>
      <c r="G1092" s="95">
        <f>ROUND(E1092*F1092,2)</f>
        <v>0</v>
      </c>
      <c r="H1092" s="97">
        <v>0</v>
      </c>
    </row>
    <row r="1093" spans="1:8" s="69" customFormat="1" ht="15.95" hidden="1" customHeight="1">
      <c r="A1093" s="90" t="s">
        <v>518</v>
      </c>
      <c r="B1093" s="90" t="s">
        <v>518</v>
      </c>
      <c r="C1093" s="91" t="s">
        <v>519</v>
      </c>
      <c r="D1093" s="82"/>
      <c r="E1093" s="82"/>
      <c r="F1093" s="82"/>
      <c r="G1093" s="82">
        <f>SUM(G1094:G1096)</f>
        <v>0</v>
      </c>
      <c r="H1093" s="97"/>
    </row>
    <row r="1094" spans="1:8" s="69" customFormat="1" ht="15.95" hidden="1" customHeight="1">
      <c r="A1094" s="93"/>
      <c r="B1094" s="93"/>
      <c r="C1094" s="94"/>
      <c r="D1094" s="95"/>
      <c r="E1094" s="95"/>
      <c r="F1094" s="95"/>
      <c r="G1094" s="95">
        <f>ROUND(E1094*F1094,2)</f>
        <v>0</v>
      </c>
      <c r="H1094" s="97">
        <v>0</v>
      </c>
    </row>
    <row r="1095" spans="1:8" s="69" customFormat="1" ht="15.95" hidden="1" customHeight="1">
      <c r="A1095" s="93"/>
      <c r="B1095" s="93"/>
      <c r="C1095" s="94"/>
      <c r="D1095" s="95"/>
      <c r="E1095" s="95"/>
      <c r="F1095" s="95"/>
      <c r="G1095" s="95">
        <f>ROUND(E1095*F1095,2)</f>
        <v>0</v>
      </c>
      <c r="H1095" s="97">
        <v>0</v>
      </c>
    </row>
    <row r="1096" spans="1:8" s="69" customFormat="1" ht="15.95" hidden="1" customHeight="1">
      <c r="A1096" s="93"/>
      <c r="B1096" s="93"/>
      <c r="C1096" s="94"/>
      <c r="D1096" s="95"/>
      <c r="E1096" s="95"/>
      <c r="F1096" s="95"/>
      <c r="G1096" s="95">
        <f>ROUND(E1096*F1096,2)</f>
        <v>0</v>
      </c>
      <c r="H1096" s="97">
        <v>0</v>
      </c>
    </row>
    <row r="1097" spans="1:8" s="69" customFormat="1" ht="15.95" hidden="1" customHeight="1">
      <c r="A1097" s="90" t="s">
        <v>520</v>
      </c>
      <c r="B1097" s="90" t="s">
        <v>520</v>
      </c>
      <c r="C1097" s="91" t="s">
        <v>521</v>
      </c>
      <c r="D1097" s="82"/>
      <c r="E1097" s="82"/>
      <c r="F1097" s="82"/>
      <c r="G1097" s="82">
        <f>SUM(G1098:G1100)</f>
        <v>0</v>
      </c>
      <c r="H1097" s="97"/>
    </row>
    <row r="1098" spans="1:8" s="69" customFormat="1" ht="15.95" hidden="1" customHeight="1">
      <c r="A1098" s="93"/>
      <c r="B1098" s="93"/>
      <c r="C1098" s="94"/>
      <c r="D1098" s="95"/>
      <c r="E1098" s="95"/>
      <c r="F1098" s="95"/>
      <c r="G1098" s="95">
        <f>ROUND(E1098*F1098,2)</f>
        <v>0</v>
      </c>
      <c r="H1098" s="97">
        <v>0</v>
      </c>
    </row>
    <row r="1099" spans="1:8" s="69" customFormat="1" ht="15.95" hidden="1" customHeight="1">
      <c r="A1099" s="93"/>
      <c r="B1099" s="93"/>
      <c r="C1099" s="94"/>
      <c r="D1099" s="95"/>
      <c r="E1099" s="95"/>
      <c r="F1099" s="95"/>
      <c r="G1099" s="95">
        <f>ROUND(E1099*F1099,2)</f>
        <v>0</v>
      </c>
      <c r="H1099" s="97">
        <v>0</v>
      </c>
    </row>
    <row r="1100" spans="1:8" s="69" customFormat="1" ht="15.95" hidden="1" customHeight="1">
      <c r="A1100" s="93"/>
      <c r="B1100" s="93"/>
      <c r="C1100" s="94"/>
      <c r="D1100" s="95"/>
      <c r="E1100" s="95"/>
      <c r="F1100" s="95"/>
      <c r="G1100" s="95">
        <f>ROUND(E1100*F1100,2)</f>
        <v>0</v>
      </c>
      <c r="H1100" s="97">
        <v>0</v>
      </c>
    </row>
    <row r="1101" spans="1:8" s="69" customFormat="1" ht="15.95" hidden="1" customHeight="1">
      <c r="A1101" s="90" t="s">
        <v>522</v>
      </c>
      <c r="B1101" s="90" t="s">
        <v>522</v>
      </c>
      <c r="C1101" s="91" t="s">
        <v>523</v>
      </c>
      <c r="D1101" s="82"/>
      <c r="E1101" s="82"/>
      <c r="F1101" s="82"/>
      <c r="G1101" s="82">
        <f>SUM(G1102:G1104)</f>
        <v>0</v>
      </c>
      <c r="H1101" s="97"/>
    </row>
    <row r="1102" spans="1:8" s="69" customFormat="1" ht="15.95" hidden="1" customHeight="1">
      <c r="A1102" s="93"/>
      <c r="B1102" s="93"/>
      <c r="C1102" s="94"/>
      <c r="D1102" s="95"/>
      <c r="E1102" s="95"/>
      <c r="F1102" s="95"/>
      <c r="G1102" s="95">
        <f>ROUND(E1102*F1102,2)</f>
        <v>0</v>
      </c>
      <c r="H1102" s="97">
        <v>0</v>
      </c>
    </row>
    <row r="1103" spans="1:8" s="69" customFormat="1" ht="15.95" hidden="1" customHeight="1">
      <c r="A1103" s="93"/>
      <c r="B1103" s="93"/>
      <c r="C1103" s="94"/>
      <c r="D1103" s="95"/>
      <c r="E1103" s="95"/>
      <c r="F1103" s="95"/>
      <c r="G1103" s="95">
        <f>ROUND(E1103*F1103,2)</f>
        <v>0</v>
      </c>
      <c r="H1103" s="97">
        <v>0</v>
      </c>
    </row>
    <row r="1104" spans="1:8" s="69" customFormat="1" ht="15.95" hidden="1" customHeight="1">
      <c r="A1104" s="93"/>
      <c r="B1104" s="93"/>
      <c r="C1104" s="94"/>
      <c r="D1104" s="95"/>
      <c r="E1104" s="95"/>
      <c r="F1104" s="95"/>
      <c r="G1104" s="95">
        <f>ROUND(E1104*F1104,2)</f>
        <v>0</v>
      </c>
      <c r="H1104" s="97">
        <v>0</v>
      </c>
    </row>
    <row r="1105" spans="1:8" s="69" customFormat="1" ht="15.95" hidden="1" customHeight="1">
      <c r="A1105" s="90" t="s">
        <v>524</v>
      </c>
      <c r="B1105" s="90" t="s">
        <v>524</v>
      </c>
      <c r="C1105" s="91" t="s">
        <v>525</v>
      </c>
      <c r="D1105" s="82"/>
      <c r="E1105" s="82"/>
      <c r="F1105" s="82"/>
      <c r="G1105" s="82">
        <f>SUM(G1106:G1108)</f>
        <v>0</v>
      </c>
      <c r="H1105" s="97"/>
    </row>
    <row r="1106" spans="1:8" s="69" customFormat="1" ht="15.95" hidden="1" customHeight="1">
      <c r="A1106" s="93"/>
      <c r="B1106" s="93"/>
      <c r="C1106" s="94"/>
      <c r="D1106" s="95"/>
      <c r="E1106" s="95"/>
      <c r="F1106" s="95"/>
      <c r="G1106" s="95">
        <f>ROUND(E1106*F1106,2)</f>
        <v>0</v>
      </c>
      <c r="H1106" s="97">
        <v>0</v>
      </c>
    </row>
    <row r="1107" spans="1:8" s="69" customFormat="1" ht="15.95" hidden="1" customHeight="1">
      <c r="A1107" s="93"/>
      <c r="B1107" s="93"/>
      <c r="C1107" s="94"/>
      <c r="D1107" s="95"/>
      <c r="E1107" s="95"/>
      <c r="F1107" s="95"/>
      <c r="G1107" s="95">
        <f>ROUND(E1107*F1107,2)</f>
        <v>0</v>
      </c>
      <c r="H1107" s="97">
        <v>0</v>
      </c>
    </row>
    <row r="1108" spans="1:8" s="69" customFormat="1" ht="15.95" hidden="1" customHeight="1">
      <c r="A1108" s="93"/>
      <c r="B1108" s="93"/>
      <c r="C1108" s="94"/>
      <c r="D1108" s="95"/>
      <c r="E1108" s="95"/>
      <c r="F1108" s="95"/>
      <c r="G1108" s="95">
        <f>ROUND(E1108*F1108,2)</f>
        <v>0</v>
      </c>
      <c r="H1108" s="97">
        <v>0</v>
      </c>
    </row>
    <row r="1109" spans="1:8" s="69" customFormat="1" ht="15.95" hidden="1" customHeight="1">
      <c r="A1109" s="90" t="s">
        <v>526</v>
      </c>
      <c r="B1109" s="90" t="s">
        <v>526</v>
      </c>
      <c r="C1109" s="91" t="s">
        <v>527</v>
      </c>
      <c r="D1109" s="82"/>
      <c r="E1109" s="82"/>
      <c r="F1109" s="82"/>
      <c r="G1109" s="82">
        <f>SUM(G1110:G1112)</f>
        <v>0</v>
      </c>
      <c r="H1109" s="97"/>
    </row>
    <row r="1110" spans="1:8" s="69" customFormat="1" ht="15.95" hidden="1" customHeight="1">
      <c r="A1110" s="93"/>
      <c r="B1110" s="93"/>
      <c r="C1110" s="94"/>
      <c r="D1110" s="95"/>
      <c r="E1110" s="95"/>
      <c r="F1110" s="95"/>
      <c r="G1110" s="95">
        <f>ROUND(E1110*F1110,2)</f>
        <v>0</v>
      </c>
      <c r="H1110" s="97">
        <v>0</v>
      </c>
    </row>
    <row r="1111" spans="1:8" s="69" customFormat="1" ht="15.95" hidden="1" customHeight="1">
      <c r="A1111" s="93"/>
      <c r="B1111" s="93"/>
      <c r="C1111" s="94"/>
      <c r="D1111" s="95"/>
      <c r="E1111" s="95"/>
      <c r="F1111" s="95"/>
      <c r="G1111" s="95">
        <f>ROUND(E1111*F1111,2)</f>
        <v>0</v>
      </c>
      <c r="H1111" s="97">
        <v>0</v>
      </c>
    </row>
    <row r="1112" spans="1:8" s="69" customFormat="1" ht="15.95" hidden="1" customHeight="1">
      <c r="A1112" s="93"/>
      <c r="B1112" s="93"/>
      <c r="C1112" s="94"/>
      <c r="D1112" s="95"/>
      <c r="E1112" s="95"/>
      <c r="F1112" s="95"/>
      <c r="G1112" s="95">
        <f>ROUND(E1112*F1112,2)</f>
        <v>0</v>
      </c>
      <c r="H1112" s="97">
        <v>0</v>
      </c>
    </row>
    <row r="1113" spans="1:8" s="69" customFormat="1" ht="15.95" hidden="1" customHeight="1">
      <c r="A1113" s="90" t="s">
        <v>528</v>
      </c>
      <c r="B1113" s="90" t="s">
        <v>528</v>
      </c>
      <c r="C1113" s="91" t="s">
        <v>529</v>
      </c>
      <c r="D1113" s="82"/>
      <c r="E1113" s="82"/>
      <c r="F1113" s="82"/>
      <c r="G1113" s="82">
        <f>SUM(G1114:G1116)</f>
        <v>0</v>
      </c>
      <c r="H1113" s="97"/>
    </row>
    <row r="1114" spans="1:8" s="69" customFormat="1" ht="15.95" hidden="1" customHeight="1">
      <c r="A1114" s="93"/>
      <c r="B1114" s="93"/>
      <c r="C1114" s="94"/>
      <c r="D1114" s="95"/>
      <c r="E1114" s="95"/>
      <c r="F1114" s="95"/>
      <c r="G1114" s="95">
        <f>ROUND(E1114*F1114,2)</f>
        <v>0</v>
      </c>
      <c r="H1114" s="97">
        <v>0</v>
      </c>
    </row>
    <row r="1115" spans="1:8" s="69" customFormat="1" ht="15.95" hidden="1" customHeight="1">
      <c r="A1115" s="93"/>
      <c r="B1115" s="93"/>
      <c r="C1115" s="94"/>
      <c r="D1115" s="95"/>
      <c r="E1115" s="95"/>
      <c r="F1115" s="95"/>
      <c r="G1115" s="95">
        <f>ROUND(E1115*F1115,2)</f>
        <v>0</v>
      </c>
      <c r="H1115" s="97">
        <v>0</v>
      </c>
    </row>
    <row r="1116" spans="1:8" s="69" customFormat="1" ht="15.95" hidden="1" customHeight="1">
      <c r="A1116" s="93"/>
      <c r="B1116" s="93"/>
      <c r="C1116" s="94"/>
      <c r="D1116" s="95"/>
      <c r="E1116" s="95"/>
      <c r="F1116" s="95"/>
      <c r="G1116" s="95">
        <f>ROUND(E1116*F1116,2)</f>
        <v>0</v>
      </c>
      <c r="H1116" s="97">
        <v>0</v>
      </c>
    </row>
    <row r="1117" spans="1:8" s="69" customFormat="1" ht="15.95" hidden="1" customHeight="1">
      <c r="A1117" s="90" t="s">
        <v>530</v>
      </c>
      <c r="B1117" s="90" t="s">
        <v>530</v>
      </c>
      <c r="C1117" s="91" t="s">
        <v>531</v>
      </c>
      <c r="D1117" s="82"/>
      <c r="E1117" s="82"/>
      <c r="F1117" s="82"/>
      <c r="G1117" s="82">
        <f>SUM(G1118:G1120)</f>
        <v>0</v>
      </c>
      <c r="H1117" s="97"/>
    </row>
    <row r="1118" spans="1:8" s="69" customFormat="1" ht="15.95" hidden="1" customHeight="1">
      <c r="A1118" s="93"/>
      <c r="B1118" s="93"/>
      <c r="C1118" s="94"/>
      <c r="D1118" s="95"/>
      <c r="E1118" s="95"/>
      <c r="F1118" s="95"/>
      <c r="G1118" s="95">
        <f>ROUND(E1118*F1118,2)</f>
        <v>0</v>
      </c>
      <c r="H1118" s="97">
        <v>0</v>
      </c>
    </row>
    <row r="1119" spans="1:8" s="69" customFormat="1" ht="15.95" hidden="1" customHeight="1">
      <c r="A1119" s="93"/>
      <c r="B1119" s="93"/>
      <c r="C1119" s="94"/>
      <c r="D1119" s="95"/>
      <c r="E1119" s="95"/>
      <c r="F1119" s="95"/>
      <c r="G1119" s="95">
        <f>ROUND(E1119*F1119,2)</f>
        <v>0</v>
      </c>
      <c r="H1119" s="97">
        <v>0</v>
      </c>
    </row>
    <row r="1120" spans="1:8" s="69" customFormat="1" ht="15.95" hidden="1" customHeight="1">
      <c r="A1120" s="93"/>
      <c r="B1120" s="93"/>
      <c r="C1120" s="94"/>
      <c r="D1120" s="95"/>
      <c r="E1120" s="95"/>
      <c r="F1120" s="95"/>
      <c r="G1120" s="95">
        <f>ROUND(E1120*F1120,2)</f>
        <v>0</v>
      </c>
      <c r="H1120" s="97">
        <v>0</v>
      </c>
    </row>
    <row r="1121" spans="1:8" s="69" customFormat="1" ht="15.95" hidden="1" customHeight="1">
      <c r="A1121" s="90" t="s">
        <v>532</v>
      </c>
      <c r="B1121" s="90" t="s">
        <v>532</v>
      </c>
      <c r="C1121" s="91" t="s">
        <v>533</v>
      </c>
      <c r="D1121" s="82"/>
      <c r="E1121" s="82"/>
      <c r="F1121" s="82"/>
      <c r="G1121" s="82">
        <f>SUM(G1122:G1124)</f>
        <v>0</v>
      </c>
      <c r="H1121" s="97"/>
    </row>
    <row r="1122" spans="1:8" s="69" customFormat="1" ht="15.95" hidden="1" customHeight="1">
      <c r="A1122" s="93"/>
      <c r="B1122" s="93"/>
      <c r="C1122" s="94"/>
      <c r="D1122" s="95"/>
      <c r="E1122" s="95"/>
      <c r="F1122" s="95"/>
      <c r="G1122" s="95">
        <f>ROUND(E1122*F1122,2)</f>
        <v>0</v>
      </c>
      <c r="H1122" s="97">
        <v>0</v>
      </c>
    </row>
    <row r="1123" spans="1:8" s="69" customFormat="1" ht="15.95" hidden="1" customHeight="1">
      <c r="A1123" s="93"/>
      <c r="B1123" s="93"/>
      <c r="C1123" s="94"/>
      <c r="D1123" s="95"/>
      <c r="E1123" s="95"/>
      <c r="F1123" s="95"/>
      <c r="G1123" s="95">
        <f>ROUND(E1123*F1123,2)</f>
        <v>0</v>
      </c>
      <c r="H1123" s="97">
        <v>0</v>
      </c>
    </row>
    <row r="1124" spans="1:8" s="69" customFormat="1" ht="15.95" hidden="1" customHeight="1">
      <c r="A1124" s="93"/>
      <c r="B1124" s="93"/>
      <c r="C1124" s="94"/>
      <c r="D1124" s="95"/>
      <c r="E1124" s="95"/>
      <c r="F1124" s="95"/>
      <c r="G1124" s="95">
        <f>ROUND(E1124*F1124,2)</f>
        <v>0</v>
      </c>
      <c r="H1124" s="97">
        <v>0</v>
      </c>
    </row>
    <row r="1125" spans="1:8" s="69" customFormat="1" ht="15.95" hidden="1" customHeight="1">
      <c r="A1125" s="90" t="s">
        <v>534</v>
      </c>
      <c r="B1125" s="90" t="s">
        <v>534</v>
      </c>
      <c r="C1125" s="91" t="s">
        <v>535</v>
      </c>
      <c r="D1125" s="82"/>
      <c r="E1125" s="82"/>
      <c r="F1125" s="82"/>
      <c r="G1125" s="82">
        <f>SUM(G1126:G1128)</f>
        <v>0</v>
      </c>
      <c r="H1125" s="97"/>
    </row>
    <row r="1126" spans="1:8" s="69" customFormat="1" ht="15.95" hidden="1" customHeight="1">
      <c r="A1126" s="93"/>
      <c r="B1126" s="93"/>
      <c r="C1126" s="94"/>
      <c r="D1126" s="95"/>
      <c r="E1126" s="95"/>
      <c r="F1126" s="95"/>
      <c r="G1126" s="95">
        <f>ROUND(E1126*F1126,2)</f>
        <v>0</v>
      </c>
      <c r="H1126" s="96">
        <v>0</v>
      </c>
    </row>
    <row r="1127" spans="1:8" s="69" customFormat="1" ht="15.95" hidden="1" customHeight="1">
      <c r="A1127" s="93"/>
      <c r="B1127" s="93"/>
      <c r="C1127" s="94"/>
      <c r="D1127" s="95"/>
      <c r="E1127" s="95"/>
      <c r="F1127" s="95"/>
      <c r="G1127" s="95">
        <f>ROUND(E1127*F1127,2)</f>
        <v>0</v>
      </c>
      <c r="H1127" s="96">
        <v>0</v>
      </c>
    </row>
    <row r="1128" spans="1:8" s="69" customFormat="1" ht="15.95" hidden="1" customHeight="1">
      <c r="A1128" s="93"/>
      <c r="B1128" s="93"/>
      <c r="C1128" s="94"/>
      <c r="D1128" s="95"/>
      <c r="E1128" s="95"/>
      <c r="F1128" s="95"/>
      <c r="G1128" s="95">
        <f>ROUND(E1128*F1128,2)</f>
        <v>0</v>
      </c>
      <c r="H1128" s="96">
        <v>0</v>
      </c>
    </row>
    <row r="1129" spans="1:8" s="69" customFormat="1" ht="15.95" hidden="1" customHeight="1">
      <c r="A1129" s="90" t="s">
        <v>536</v>
      </c>
      <c r="B1129" s="90" t="s">
        <v>536</v>
      </c>
      <c r="C1129" s="91" t="s">
        <v>537</v>
      </c>
      <c r="D1129" s="82"/>
      <c r="E1129" s="82"/>
      <c r="F1129" s="82"/>
      <c r="G1129" s="82">
        <f>SUM(G1130:G1132)</f>
        <v>0</v>
      </c>
      <c r="H1129" s="97"/>
    </row>
    <row r="1130" spans="1:8" s="69" customFormat="1" ht="15.95" hidden="1" customHeight="1">
      <c r="A1130" s="93"/>
      <c r="B1130" s="93"/>
      <c r="C1130" s="94"/>
      <c r="D1130" s="95"/>
      <c r="E1130" s="95"/>
      <c r="F1130" s="95"/>
      <c r="G1130" s="95">
        <f>ROUND(E1130*F1130,2)</f>
        <v>0</v>
      </c>
      <c r="H1130" s="96">
        <v>0</v>
      </c>
    </row>
    <row r="1131" spans="1:8" s="69" customFormat="1" ht="15.95" hidden="1" customHeight="1">
      <c r="A1131" s="93"/>
      <c r="B1131" s="93"/>
      <c r="C1131" s="94"/>
      <c r="D1131" s="95"/>
      <c r="E1131" s="95"/>
      <c r="F1131" s="95"/>
      <c r="G1131" s="95">
        <f>ROUND(E1131*F1131,2)</f>
        <v>0</v>
      </c>
      <c r="H1131" s="96">
        <v>0</v>
      </c>
    </row>
    <row r="1132" spans="1:8" s="69" customFormat="1" ht="15.95" hidden="1" customHeight="1">
      <c r="A1132" s="93"/>
      <c r="B1132" s="93"/>
      <c r="C1132" s="94"/>
      <c r="D1132" s="95"/>
      <c r="E1132" s="95"/>
      <c r="F1132" s="95"/>
      <c r="G1132" s="95">
        <f>ROUND(E1132*F1132,2)</f>
        <v>0</v>
      </c>
      <c r="H1132" s="96">
        <v>0</v>
      </c>
    </row>
    <row r="1133" spans="1:8" s="69" customFormat="1" ht="15.95" hidden="1" customHeight="1">
      <c r="A1133" s="90" t="s">
        <v>538</v>
      </c>
      <c r="B1133" s="90" t="s">
        <v>538</v>
      </c>
      <c r="C1133" s="91" t="s">
        <v>539</v>
      </c>
      <c r="D1133" s="82"/>
      <c r="E1133" s="82"/>
      <c r="F1133" s="82"/>
      <c r="G1133" s="82">
        <f>SUM(G1134:G1136)</f>
        <v>0</v>
      </c>
      <c r="H1133" s="97"/>
    </row>
    <row r="1134" spans="1:8" s="69" customFormat="1" ht="15.95" hidden="1" customHeight="1">
      <c r="A1134" s="93"/>
      <c r="B1134" s="93"/>
      <c r="C1134" s="94"/>
      <c r="D1134" s="95"/>
      <c r="E1134" s="95"/>
      <c r="F1134" s="95"/>
      <c r="G1134" s="95">
        <f>ROUND(E1134*F1134,2)</f>
        <v>0</v>
      </c>
      <c r="H1134" s="96">
        <v>0</v>
      </c>
    </row>
    <row r="1135" spans="1:8" s="69" customFormat="1" ht="15.95" hidden="1" customHeight="1">
      <c r="A1135" s="93"/>
      <c r="B1135" s="93"/>
      <c r="C1135" s="94"/>
      <c r="D1135" s="95"/>
      <c r="E1135" s="95"/>
      <c r="F1135" s="95"/>
      <c r="G1135" s="95">
        <f>ROUND(E1135*F1135,2)</f>
        <v>0</v>
      </c>
      <c r="H1135" s="96">
        <v>0</v>
      </c>
    </row>
    <row r="1136" spans="1:8" s="69" customFormat="1" ht="15.95" hidden="1" customHeight="1">
      <c r="A1136" s="93"/>
      <c r="B1136" s="93"/>
      <c r="C1136" s="94"/>
      <c r="D1136" s="95"/>
      <c r="E1136" s="95"/>
      <c r="F1136" s="95"/>
      <c r="G1136" s="95">
        <f>ROUND(E1136*F1136,2)</f>
        <v>0</v>
      </c>
      <c r="H1136" s="96">
        <v>0</v>
      </c>
    </row>
    <row r="1137" spans="1:8" s="69" customFormat="1" ht="15.95" hidden="1" customHeight="1">
      <c r="A1137" s="90" t="s">
        <v>540</v>
      </c>
      <c r="B1137" s="90" t="s">
        <v>540</v>
      </c>
      <c r="C1137" s="91" t="s">
        <v>541</v>
      </c>
      <c r="D1137" s="82"/>
      <c r="E1137" s="82"/>
      <c r="F1137" s="82"/>
      <c r="G1137" s="82">
        <f>SUM(G1138:G1140)</f>
        <v>0</v>
      </c>
      <c r="H1137" s="97"/>
    </row>
    <row r="1138" spans="1:8" s="69" customFormat="1" ht="15.95" hidden="1" customHeight="1">
      <c r="A1138" s="93"/>
      <c r="B1138" s="93"/>
      <c r="C1138" s="94"/>
      <c r="D1138" s="95"/>
      <c r="E1138" s="95"/>
      <c r="F1138" s="95"/>
      <c r="G1138" s="95">
        <f>ROUND(E1138*F1138,2)</f>
        <v>0</v>
      </c>
      <c r="H1138" s="96">
        <v>0</v>
      </c>
    </row>
    <row r="1139" spans="1:8" s="69" customFormat="1" ht="15.95" hidden="1" customHeight="1">
      <c r="A1139" s="93"/>
      <c r="B1139" s="93"/>
      <c r="C1139" s="94"/>
      <c r="D1139" s="95"/>
      <c r="E1139" s="95"/>
      <c r="F1139" s="95"/>
      <c r="G1139" s="95">
        <f>ROUND(E1139*F1139,2)</f>
        <v>0</v>
      </c>
      <c r="H1139" s="96">
        <v>0</v>
      </c>
    </row>
    <row r="1140" spans="1:8" s="69" customFormat="1" ht="15.95" hidden="1" customHeight="1">
      <c r="A1140" s="93"/>
      <c r="B1140" s="93"/>
      <c r="C1140" s="94"/>
      <c r="D1140" s="95"/>
      <c r="E1140" s="95"/>
      <c r="F1140" s="95"/>
      <c r="G1140" s="95">
        <f>ROUND(E1140*F1140,2)</f>
        <v>0</v>
      </c>
      <c r="H1140" s="96">
        <v>0</v>
      </c>
    </row>
    <row r="1141" spans="1:8" s="69" customFormat="1" ht="15.95" hidden="1" customHeight="1">
      <c r="A1141" s="90" t="s">
        <v>542</v>
      </c>
      <c r="B1141" s="90" t="s">
        <v>542</v>
      </c>
      <c r="C1141" s="91" t="s">
        <v>543</v>
      </c>
      <c r="D1141" s="82"/>
      <c r="E1141" s="82"/>
      <c r="F1141" s="82"/>
      <c r="G1141" s="82">
        <f>SUM(G1142:G1144)</f>
        <v>0</v>
      </c>
      <c r="H1141" s="97"/>
    </row>
    <row r="1142" spans="1:8" s="69" customFormat="1" ht="15.95" hidden="1" customHeight="1">
      <c r="A1142" s="93"/>
      <c r="B1142" s="93"/>
      <c r="C1142" s="94"/>
      <c r="D1142" s="95"/>
      <c r="E1142" s="95"/>
      <c r="F1142" s="95"/>
      <c r="G1142" s="95">
        <f>ROUND(E1142*F1142,2)</f>
        <v>0</v>
      </c>
      <c r="H1142" s="96">
        <v>0</v>
      </c>
    </row>
    <row r="1143" spans="1:8" s="69" customFormat="1" ht="15.95" hidden="1" customHeight="1">
      <c r="A1143" s="93"/>
      <c r="B1143" s="93"/>
      <c r="C1143" s="94"/>
      <c r="D1143" s="95"/>
      <c r="E1143" s="95"/>
      <c r="F1143" s="95"/>
      <c r="G1143" s="95">
        <f>ROUND(E1143*F1143,2)</f>
        <v>0</v>
      </c>
      <c r="H1143" s="96">
        <v>0</v>
      </c>
    </row>
    <row r="1144" spans="1:8" s="69" customFormat="1" ht="15.95" hidden="1" customHeight="1">
      <c r="A1144" s="93"/>
      <c r="B1144" s="93"/>
      <c r="C1144" s="94"/>
      <c r="D1144" s="95"/>
      <c r="E1144" s="95"/>
      <c r="F1144" s="95"/>
      <c r="G1144" s="95">
        <f>ROUND(E1144*F1144,2)</f>
        <v>0</v>
      </c>
      <c r="H1144" s="96">
        <v>0</v>
      </c>
    </row>
    <row r="1145" spans="1:8" s="69" customFormat="1" ht="15.95" hidden="1" customHeight="1">
      <c r="A1145" s="83"/>
      <c r="B1145" s="83"/>
      <c r="C1145" s="84" t="s">
        <v>544</v>
      </c>
      <c r="D1145" s="85"/>
      <c r="E1145" s="85"/>
      <c r="F1145" s="85"/>
      <c r="G1145" s="85"/>
      <c r="H1145" s="97"/>
    </row>
    <row r="1146" spans="1:8" s="69" customFormat="1" ht="15.95" hidden="1" customHeight="1">
      <c r="A1146" s="106" t="s">
        <v>545</v>
      </c>
      <c r="B1146" s="106" t="s">
        <v>545</v>
      </c>
      <c r="C1146" s="88" t="s">
        <v>546</v>
      </c>
      <c r="D1146" s="89"/>
      <c r="E1146" s="89"/>
      <c r="F1146" s="89"/>
      <c r="G1146" s="89">
        <f>SG_14_01+SG_14_02+SG_14_03+SG_14_04+SG_14_05+SG_14_06+SG_14_07+SG_14_08+SG_14_09+SG_14_10+SG_14_11+SG_14_12+SG_14_13+SG_14_14+SG_14_15+SG_14_16+SG_14_17+SG_14_18+SG_14_19+SG_14_20</f>
        <v>0</v>
      </c>
      <c r="H1146" s="97"/>
    </row>
    <row r="1147" spans="1:8" s="69" customFormat="1" ht="15.95" hidden="1" customHeight="1">
      <c r="A1147" s="90" t="s">
        <v>547</v>
      </c>
      <c r="B1147" s="90" t="s">
        <v>547</v>
      </c>
      <c r="C1147" s="91" t="s">
        <v>548</v>
      </c>
      <c r="D1147" s="82"/>
      <c r="E1147" s="82"/>
      <c r="F1147" s="82"/>
      <c r="G1147" s="82">
        <f>SUM(G1148:G1150)</f>
        <v>0</v>
      </c>
      <c r="H1147" s="97"/>
    </row>
    <row r="1148" spans="1:8" s="69" customFormat="1" ht="15.95" hidden="1" customHeight="1">
      <c r="A1148" s="93"/>
      <c r="B1148" s="93"/>
      <c r="C1148" s="94"/>
      <c r="D1148" s="95"/>
      <c r="E1148" s="95"/>
      <c r="F1148" s="95"/>
      <c r="G1148" s="95">
        <f>ROUND(E1148*F1148,2)</f>
        <v>0</v>
      </c>
      <c r="H1148" s="97">
        <v>0</v>
      </c>
    </row>
    <row r="1149" spans="1:8" s="69" customFormat="1" ht="15.95" hidden="1" customHeight="1">
      <c r="A1149" s="93"/>
      <c r="B1149" s="93"/>
      <c r="C1149" s="94"/>
      <c r="D1149" s="95"/>
      <c r="E1149" s="95"/>
      <c r="F1149" s="95"/>
      <c r="G1149" s="95">
        <f>ROUND(E1149*F1149,2)</f>
        <v>0</v>
      </c>
      <c r="H1149" s="97">
        <v>0</v>
      </c>
    </row>
    <row r="1150" spans="1:8" s="69" customFormat="1" ht="15.95" hidden="1" customHeight="1">
      <c r="A1150" s="93"/>
      <c r="B1150" s="93"/>
      <c r="C1150" s="94"/>
      <c r="D1150" s="95"/>
      <c r="E1150" s="95"/>
      <c r="F1150" s="95"/>
      <c r="G1150" s="95">
        <f>ROUND(E1150*F1150,2)</f>
        <v>0</v>
      </c>
      <c r="H1150" s="97">
        <v>0</v>
      </c>
    </row>
    <row r="1151" spans="1:8" s="69" customFormat="1" ht="15.95" hidden="1" customHeight="1">
      <c r="A1151" s="90" t="s">
        <v>549</v>
      </c>
      <c r="B1151" s="90" t="s">
        <v>549</v>
      </c>
      <c r="C1151" s="91" t="s">
        <v>550</v>
      </c>
      <c r="D1151" s="82"/>
      <c r="E1151" s="82"/>
      <c r="F1151" s="82"/>
      <c r="G1151" s="82">
        <f>SUM(G1152:G1154)</f>
        <v>0</v>
      </c>
      <c r="H1151" s="97"/>
    </row>
    <row r="1152" spans="1:8" s="69" customFormat="1" ht="15.95" hidden="1" customHeight="1">
      <c r="A1152" s="93"/>
      <c r="B1152" s="93"/>
      <c r="C1152" s="94"/>
      <c r="D1152" s="95"/>
      <c r="E1152" s="95"/>
      <c r="F1152" s="95"/>
      <c r="G1152" s="95">
        <f>ROUND(E1152*F1152,2)</f>
        <v>0</v>
      </c>
      <c r="H1152" s="97">
        <v>0</v>
      </c>
    </row>
    <row r="1153" spans="1:8" s="69" customFormat="1" ht="15.95" hidden="1" customHeight="1">
      <c r="A1153" s="93"/>
      <c r="B1153" s="93"/>
      <c r="C1153" s="94"/>
      <c r="D1153" s="95"/>
      <c r="E1153" s="95"/>
      <c r="F1153" s="95"/>
      <c r="G1153" s="95">
        <f>ROUND(E1153*F1153,2)</f>
        <v>0</v>
      </c>
      <c r="H1153" s="97">
        <v>0</v>
      </c>
    </row>
    <row r="1154" spans="1:8" s="69" customFormat="1" ht="15.95" hidden="1" customHeight="1">
      <c r="A1154" s="93"/>
      <c r="B1154" s="93"/>
      <c r="C1154" s="94"/>
      <c r="D1154" s="95"/>
      <c r="E1154" s="95"/>
      <c r="F1154" s="95"/>
      <c r="G1154" s="95">
        <f>ROUND(E1154*F1154,2)</f>
        <v>0</v>
      </c>
      <c r="H1154" s="97">
        <v>0</v>
      </c>
    </row>
    <row r="1155" spans="1:8" s="69" customFormat="1" ht="15.95" hidden="1" customHeight="1">
      <c r="A1155" s="90" t="s">
        <v>551</v>
      </c>
      <c r="B1155" s="90" t="s">
        <v>551</v>
      </c>
      <c r="C1155" s="91" t="s">
        <v>552</v>
      </c>
      <c r="D1155" s="82"/>
      <c r="E1155" s="82"/>
      <c r="F1155" s="82"/>
      <c r="G1155" s="82">
        <f>SUM(G1156:G1158)</f>
        <v>0</v>
      </c>
      <c r="H1155" s="97"/>
    </row>
    <row r="1156" spans="1:8" s="69" customFormat="1" ht="15.95" hidden="1" customHeight="1">
      <c r="A1156" s="93"/>
      <c r="B1156" s="93"/>
      <c r="C1156" s="94"/>
      <c r="D1156" s="95"/>
      <c r="E1156" s="95"/>
      <c r="F1156" s="95"/>
      <c r="G1156" s="95">
        <f>ROUND(E1156*F1156,2)</f>
        <v>0</v>
      </c>
      <c r="H1156" s="97">
        <v>0</v>
      </c>
    </row>
    <row r="1157" spans="1:8" s="69" customFormat="1" ht="15.95" hidden="1" customHeight="1">
      <c r="A1157" s="93"/>
      <c r="B1157" s="93"/>
      <c r="C1157" s="94"/>
      <c r="D1157" s="95"/>
      <c r="E1157" s="95"/>
      <c r="F1157" s="95"/>
      <c r="G1157" s="95">
        <f>ROUND(E1157*F1157,2)</f>
        <v>0</v>
      </c>
      <c r="H1157" s="97">
        <v>0</v>
      </c>
    </row>
    <row r="1158" spans="1:8" s="69" customFormat="1" ht="15.95" hidden="1" customHeight="1">
      <c r="A1158" s="93"/>
      <c r="B1158" s="93"/>
      <c r="C1158" s="94"/>
      <c r="D1158" s="95"/>
      <c r="E1158" s="95"/>
      <c r="F1158" s="95"/>
      <c r="G1158" s="95">
        <f>ROUND(E1158*F1158,2)</f>
        <v>0</v>
      </c>
      <c r="H1158" s="97">
        <v>0</v>
      </c>
    </row>
    <row r="1159" spans="1:8" s="69" customFormat="1" ht="15.95" hidden="1" customHeight="1">
      <c r="A1159" s="90" t="s">
        <v>553</v>
      </c>
      <c r="B1159" s="90" t="s">
        <v>553</v>
      </c>
      <c r="C1159" s="91" t="s">
        <v>554</v>
      </c>
      <c r="D1159" s="82"/>
      <c r="E1159" s="82"/>
      <c r="F1159" s="82"/>
      <c r="G1159" s="82">
        <f>SUM(G1160:G1162)</f>
        <v>0</v>
      </c>
      <c r="H1159" s="97"/>
    </row>
    <row r="1160" spans="1:8" s="69" customFormat="1" ht="15.95" hidden="1" customHeight="1">
      <c r="A1160" s="93"/>
      <c r="B1160" s="93"/>
      <c r="C1160" s="94"/>
      <c r="D1160" s="95"/>
      <c r="E1160" s="95"/>
      <c r="F1160" s="95"/>
      <c r="G1160" s="95">
        <f>ROUND(E1160*F1160,2)</f>
        <v>0</v>
      </c>
      <c r="H1160" s="97">
        <v>0</v>
      </c>
    </row>
    <row r="1161" spans="1:8" s="69" customFormat="1" ht="15.95" hidden="1" customHeight="1">
      <c r="A1161" s="93"/>
      <c r="B1161" s="93"/>
      <c r="C1161" s="94"/>
      <c r="D1161" s="95"/>
      <c r="E1161" s="95"/>
      <c r="F1161" s="95"/>
      <c r="G1161" s="95">
        <f>ROUND(E1161*F1161,2)</f>
        <v>0</v>
      </c>
      <c r="H1161" s="97">
        <v>0</v>
      </c>
    </row>
    <row r="1162" spans="1:8" s="69" customFormat="1" ht="15.95" hidden="1" customHeight="1">
      <c r="A1162" s="93"/>
      <c r="B1162" s="93"/>
      <c r="C1162" s="94"/>
      <c r="D1162" s="95"/>
      <c r="E1162" s="95"/>
      <c r="F1162" s="95"/>
      <c r="G1162" s="95">
        <f>ROUND(E1162*F1162,2)</f>
        <v>0</v>
      </c>
      <c r="H1162" s="97">
        <v>0</v>
      </c>
    </row>
    <row r="1163" spans="1:8" s="69" customFormat="1" ht="15.95" hidden="1" customHeight="1">
      <c r="A1163" s="90" t="s">
        <v>555</v>
      </c>
      <c r="B1163" s="90" t="s">
        <v>555</v>
      </c>
      <c r="C1163" s="91" t="s">
        <v>556</v>
      </c>
      <c r="D1163" s="82"/>
      <c r="E1163" s="82"/>
      <c r="F1163" s="82"/>
      <c r="G1163" s="82">
        <f>SUM(G1164:G1166)</f>
        <v>0</v>
      </c>
      <c r="H1163" s="97"/>
    </row>
    <row r="1164" spans="1:8" s="69" customFormat="1" ht="15.95" hidden="1" customHeight="1">
      <c r="A1164" s="93"/>
      <c r="B1164" s="93"/>
      <c r="C1164" s="94"/>
      <c r="D1164" s="95"/>
      <c r="E1164" s="95"/>
      <c r="F1164" s="95"/>
      <c r="G1164" s="95">
        <f>ROUND(E1164*F1164,2)</f>
        <v>0</v>
      </c>
      <c r="H1164" s="97">
        <v>0</v>
      </c>
    </row>
    <row r="1165" spans="1:8" s="69" customFormat="1" ht="15.95" hidden="1" customHeight="1">
      <c r="A1165" s="93"/>
      <c r="B1165" s="93"/>
      <c r="C1165" s="94"/>
      <c r="D1165" s="95"/>
      <c r="E1165" s="95"/>
      <c r="F1165" s="95"/>
      <c r="G1165" s="95">
        <f>ROUND(E1165*F1165,2)</f>
        <v>0</v>
      </c>
      <c r="H1165" s="97">
        <v>0</v>
      </c>
    </row>
    <row r="1166" spans="1:8" s="69" customFormat="1" ht="15.95" hidden="1" customHeight="1">
      <c r="A1166" s="93"/>
      <c r="B1166" s="93"/>
      <c r="C1166" s="94"/>
      <c r="D1166" s="95"/>
      <c r="E1166" s="95"/>
      <c r="F1166" s="95"/>
      <c r="G1166" s="95">
        <f>ROUND(E1166*F1166,2)</f>
        <v>0</v>
      </c>
      <c r="H1166" s="97">
        <v>0</v>
      </c>
    </row>
    <row r="1167" spans="1:8" s="69" customFormat="1" ht="15.95" hidden="1" customHeight="1">
      <c r="A1167" s="90" t="s">
        <v>557</v>
      </c>
      <c r="B1167" s="90" t="s">
        <v>557</v>
      </c>
      <c r="C1167" s="91" t="s">
        <v>558</v>
      </c>
      <c r="D1167" s="82"/>
      <c r="E1167" s="82"/>
      <c r="F1167" s="82"/>
      <c r="G1167" s="82">
        <f>SUM(G1168:G1170)</f>
        <v>0</v>
      </c>
      <c r="H1167" s="97"/>
    </row>
    <row r="1168" spans="1:8" s="69" customFormat="1" ht="15.95" hidden="1" customHeight="1">
      <c r="A1168" s="93"/>
      <c r="B1168" s="93"/>
      <c r="C1168" s="94"/>
      <c r="D1168" s="95"/>
      <c r="E1168" s="95"/>
      <c r="F1168" s="95"/>
      <c r="G1168" s="95">
        <f>ROUND(E1168*F1168,2)</f>
        <v>0</v>
      </c>
      <c r="H1168" s="97">
        <v>0</v>
      </c>
    </row>
    <row r="1169" spans="1:8" s="69" customFormat="1" ht="15.95" hidden="1" customHeight="1">
      <c r="A1169" s="93"/>
      <c r="B1169" s="93"/>
      <c r="C1169" s="94"/>
      <c r="D1169" s="95"/>
      <c r="E1169" s="95"/>
      <c r="F1169" s="95"/>
      <c r="G1169" s="95">
        <f>ROUND(E1169*F1169,2)</f>
        <v>0</v>
      </c>
      <c r="H1169" s="97">
        <v>0</v>
      </c>
    </row>
    <row r="1170" spans="1:8" s="69" customFormat="1" ht="15.95" hidden="1" customHeight="1">
      <c r="A1170" s="93"/>
      <c r="B1170" s="93"/>
      <c r="C1170" s="94"/>
      <c r="D1170" s="95"/>
      <c r="E1170" s="95"/>
      <c r="F1170" s="95"/>
      <c r="G1170" s="95">
        <f>ROUND(E1170*F1170,2)</f>
        <v>0</v>
      </c>
      <c r="H1170" s="97">
        <v>0</v>
      </c>
    </row>
    <row r="1171" spans="1:8" s="69" customFormat="1" ht="15.95" hidden="1" customHeight="1">
      <c r="A1171" s="90" t="s">
        <v>559</v>
      </c>
      <c r="B1171" s="90" t="s">
        <v>559</v>
      </c>
      <c r="C1171" s="91" t="s">
        <v>560</v>
      </c>
      <c r="D1171" s="82"/>
      <c r="E1171" s="82"/>
      <c r="F1171" s="82"/>
      <c r="G1171" s="82">
        <f>SUM(G1172:G1174)</f>
        <v>0</v>
      </c>
      <c r="H1171" s="97"/>
    </row>
    <row r="1172" spans="1:8" s="69" customFormat="1" ht="15.95" hidden="1" customHeight="1">
      <c r="A1172" s="93"/>
      <c r="B1172" s="93"/>
      <c r="C1172" s="94"/>
      <c r="D1172" s="95"/>
      <c r="E1172" s="95"/>
      <c r="F1172" s="95"/>
      <c r="G1172" s="95">
        <f>ROUND(E1172*F1172,2)</f>
        <v>0</v>
      </c>
      <c r="H1172" s="97">
        <v>0</v>
      </c>
    </row>
    <row r="1173" spans="1:8" s="69" customFormat="1" ht="15.95" hidden="1" customHeight="1">
      <c r="A1173" s="93"/>
      <c r="B1173" s="93"/>
      <c r="C1173" s="94"/>
      <c r="D1173" s="95"/>
      <c r="E1173" s="95"/>
      <c r="F1173" s="95"/>
      <c r="G1173" s="95">
        <f>ROUND(E1173*F1173,2)</f>
        <v>0</v>
      </c>
      <c r="H1173" s="97">
        <v>0</v>
      </c>
    </row>
    <row r="1174" spans="1:8" s="69" customFormat="1" ht="15.95" hidden="1" customHeight="1">
      <c r="A1174" s="93"/>
      <c r="B1174" s="93"/>
      <c r="C1174" s="94"/>
      <c r="D1174" s="95"/>
      <c r="E1174" s="95"/>
      <c r="F1174" s="95"/>
      <c r="G1174" s="95">
        <f>ROUND(E1174*F1174,2)</f>
        <v>0</v>
      </c>
      <c r="H1174" s="97">
        <v>0</v>
      </c>
    </row>
    <row r="1175" spans="1:8" s="69" customFormat="1" ht="15.95" hidden="1" customHeight="1">
      <c r="A1175" s="90" t="s">
        <v>561</v>
      </c>
      <c r="B1175" s="90" t="s">
        <v>561</v>
      </c>
      <c r="C1175" s="91" t="s">
        <v>562</v>
      </c>
      <c r="D1175" s="82"/>
      <c r="E1175" s="82"/>
      <c r="F1175" s="82"/>
      <c r="G1175" s="82">
        <f>SUM(G1176:G1178)</f>
        <v>0</v>
      </c>
      <c r="H1175" s="97"/>
    </row>
    <row r="1176" spans="1:8" s="69" customFormat="1" ht="15.95" hidden="1" customHeight="1">
      <c r="A1176" s="93"/>
      <c r="B1176" s="93"/>
      <c r="C1176" s="94"/>
      <c r="D1176" s="95"/>
      <c r="E1176" s="95"/>
      <c r="F1176" s="95"/>
      <c r="G1176" s="95">
        <f>ROUND(E1176*F1176,2)</f>
        <v>0</v>
      </c>
      <c r="H1176" s="97">
        <v>0</v>
      </c>
    </row>
    <row r="1177" spans="1:8" s="69" customFormat="1" ht="15.95" hidden="1" customHeight="1">
      <c r="A1177" s="93"/>
      <c r="B1177" s="93"/>
      <c r="C1177" s="94"/>
      <c r="D1177" s="95"/>
      <c r="E1177" s="95"/>
      <c r="F1177" s="95"/>
      <c r="G1177" s="95">
        <f>ROUND(E1177*F1177,2)</f>
        <v>0</v>
      </c>
      <c r="H1177" s="97">
        <v>0</v>
      </c>
    </row>
    <row r="1178" spans="1:8" s="69" customFormat="1" ht="15.95" hidden="1" customHeight="1">
      <c r="A1178" s="93"/>
      <c r="B1178" s="93"/>
      <c r="C1178" s="94"/>
      <c r="D1178" s="95"/>
      <c r="E1178" s="95"/>
      <c r="F1178" s="95"/>
      <c r="G1178" s="95">
        <f>ROUND(E1178*F1178,2)</f>
        <v>0</v>
      </c>
      <c r="H1178" s="97">
        <v>0</v>
      </c>
    </row>
    <row r="1179" spans="1:8" s="69" customFormat="1" ht="15.95" hidden="1" customHeight="1">
      <c r="A1179" s="90" t="s">
        <v>563</v>
      </c>
      <c r="B1179" s="90" t="s">
        <v>563</v>
      </c>
      <c r="C1179" s="91" t="s">
        <v>564</v>
      </c>
      <c r="D1179" s="82"/>
      <c r="E1179" s="82"/>
      <c r="F1179" s="82"/>
      <c r="G1179" s="82">
        <f>SUM(G1180:G1182)</f>
        <v>0</v>
      </c>
      <c r="H1179" s="97"/>
    </row>
    <row r="1180" spans="1:8" s="69" customFormat="1" ht="15.95" hidden="1" customHeight="1">
      <c r="A1180" s="93"/>
      <c r="B1180" s="93"/>
      <c r="C1180" s="94"/>
      <c r="D1180" s="95"/>
      <c r="E1180" s="95"/>
      <c r="F1180" s="95"/>
      <c r="G1180" s="95">
        <f>ROUND(E1180*F1180,2)</f>
        <v>0</v>
      </c>
      <c r="H1180" s="97">
        <v>0</v>
      </c>
    </row>
    <row r="1181" spans="1:8" s="69" customFormat="1" ht="15.95" hidden="1" customHeight="1">
      <c r="A1181" s="93"/>
      <c r="B1181" s="93"/>
      <c r="C1181" s="94"/>
      <c r="D1181" s="95"/>
      <c r="E1181" s="95"/>
      <c r="F1181" s="95"/>
      <c r="G1181" s="95">
        <f>ROUND(E1181*F1181,2)</f>
        <v>0</v>
      </c>
      <c r="H1181" s="97">
        <v>0</v>
      </c>
    </row>
    <row r="1182" spans="1:8" s="69" customFormat="1" ht="15.95" hidden="1" customHeight="1">
      <c r="A1182" s="93"/>
      <c r="B1182" s="93"/>
      <c r="C1182" s="94"/>
      <c r="D1182" s="95"/>
      <c r="E1182" s="95"/>
      <c r="F1182" s="95"/>
      <c r="G1182" s="95">
        <f>ROUND(E1182*F1182,2)</f>
        <v>0</v>
      </c>
      <c r="H1182" s="97">
        <v>0</v>
      </c>
    </row>
    <row r="1183" spans="1:8" s="69" customFormat="1" ht="15.95" hidden="1" customHeight="1">
      <c r="A1183" s="90" t="s">
        <v>565</v>
      </c>
      <c r="B1183" s="90" t="s">
        <v>565</v>
      </c>
      <c r="C1183" s="91" t="s">
        <v>566</v>
      </c>
      <c r="D1183" s="82"/>
      <c r="E1183" s="82"/>
      <c r="F1183" s="82"/>
      <c r="G1183" s="82">
        <f>SUM(G1184:G1186)</f>
        <v>0</v>
      </c>
      <c r="H1183" s="97"/>
    </row>
    <row r="1184" spans="1:8" s="69" customFormat="1" ht="15.95" hidden="1" customHeight="1">
      <c r="A1184" s="93"/>
      <c r="B1184" s="93"/>
      <c r="C1184" s="94"/>
      <c r="D1184" s="95"/>
      <c r="E1184" s="95"/>
      <c r="F1184" s="95"/>
      <c r="G1184" s="95">
        <f>ROUND(E1184*F1184,2)</f>
        <v>0</v>
      </c>
      <c r="H1184" s="97">
        <v>0</v>
      </c>
    </row>
    <row r="1185" spans="1:8" s="69" customFormat="1" ht="15.95" hidden="1" customHeight="1">
      <c r="A1185" s="93"/>
      <c r="B1185" s="93"/>
      <c r="C1185" s="94"/>
      <c r="D1185" s="95"/>
      <c r="E1185" s="95"/>
      <c r="F1185" s="95"/>
      <c r="G1185" s="95">
        <f>ROUND(E1185*F1185,2)</f>
        <v>0</v>
      </c>
      <c r="H1185" s="97">
        <v>0</v>
      </c>
    </row>
    <row r="1186" spans="1:8" s="69" customFormat="1" ht="15.95" hidden="1" customHeight="1">
      <c r="A1186" s="93"/>
      <c r="B1186" s="93"/>
      <c r="C1186" s="94"/>
      <c r="D1186" s="95"/>
      <c r="E1186" s="95"/>
      <c r="F1186" s="95"/>
      <c r="G1186" s="95">
        <f>ROUND(E1186*F1186,2)</f>
        <v>0</v>
      </c>
      <c r="H1186" s="97">
        <v>0</v>
      </c>
    </row>
    <row r="1187" spans="1:8" s="69" customFormat="1" ht="15.95" hidden="1" customHeight="1">
      <c r="A1187" s="90" t="s">
        <v>567</v>
      </c>
      <c r="B1187" s="90" t="s">
        <v>567</v>
      </c>
      <c r="C1187" s="91" t="s">
        <v>568</v>
      </c>
      <c r="D1187" s="82"/>
      <c r="E1187" s="82"/>
      <c r="F1187" s="82"/>
      <c r="G1187" s="82">
        <f>SUM(G1188:G1190)</f>
        <v>0</v>
      </c>
      <c r="H1187" s="97"/>
    </row>
    <row r="1188" spans="1:8" s="69" customFormat="1" ht="15.95" hidden="1" customHeight="1">
      <c r="A1188" s="93"/>
      <c r="B1188" s="93"/>
      <c r="C1188" s="94"/>
      <c r="D1188" s="95"/>
      <c r="E1188" s="95"/>
      <c r="F1188" s="95"/>
      <c r="G1188" s="95">
        <f>ROUND(E1188*F1188,2)</f>
        <v>0</v>
      </c>
      <c r="H1188" s="97">
        <v>0</v>
      </c>
    </row>
    <row r="1189" spans="1:8" s="69" customFormat="1" ht="15.95" hidden="1" customHeight="1">
      <c r="A1189" s="93"/>
      <c r="B1189" s="93"/>
      <c r="C1189" s="94"/>
      <c r="D1189" s="95"/>
      <c r="E1189" s="95"/>
      <c r="F1189" s="95"/>
      <c r="G1189" s="95">
        <f>ROUND(E1189*F1189,2)</f>
        <v>0</v>
      </c>
      <c r="H1189" s="97">
        <v>0</v>
      </c>
    </row>
    <row r="1190" spans="1:8" s="69" customFormat="1" ht="15.95" hidden="1" customHeight="1">
      <c r="A1190" s="93"/>
      <c r="B1190" s="93"/>
      <c r="C1190" s="94"/>
      <c r="D1190" s="95"/>
      <c r="E1190" s="95"/>
      <c r="F1190" s="95"/>
      <c r="G1190" s="95">
        <f>ROUND(E1190*F1190,2)</f>
        <v>0</v>
      </c>
      <c r="H1190" s="97">
        <v>0</v>
      </c>
    </row>
    <row r="1191" spans="1:8" s="69" customFormat="1" ht="15.95" hidden="1" customHeight="1">
      <c r="A1191" s="90" t="s">
        <v>569</v>
      </c>
      <c r="B1191" s="90" t="s">
        <v>569</v>
      </c>
      <c r="C1191" s="91" t="s">
        <v>570</v>
      </c>
      <c r="D1191" s="82"/>
      <c r="E1191" s="82"/>
      <c r="F1191" s="82"/>
      <c r="G1191" s="82">
        <f>SUM(G1192:G1194)</f>
        <v>0</v>
      </c>
      <c r="H1191" s="97"/>
    </row>
    <row r="1192" spans="1:8" s="69" customFormat="1" ht="15.95" hidden="1" customHeight="1">
      <c r="A1192" s="93"/>
      <c r="B1192" s="93"/>
      <c r="C1192" s="94"/>
      <c r="D1192" s="95"/>
      <c r="E1192" s="95"/>
      <c r="F1192" s="95"/>
      <c r="G1192" s="95">
        <f>ROUND(E1192*F1192,2)</f>
        <v>0</v>
      </c>
      <c r="H1192" s="97">
        <v>0</v>
      </c>
    </row>
    <row r="1193" spans="1:8" s="69" customFormat="1" ht="15.95" hidden="1" customHeight="1">
      <c r="A1193" s="93"/>
      <c r="B1193" s="93"/>
      <c r="C1193" s="94"/>
      <c r="D1193" s="95"/>
      <c r="E1193" s="95"/>
      <c r="F1193" s="95"/>
      <c r="G1193" s="95">
        <f>ROUND(E1193*F1193,2)</f>
        <v>0</v>
      </c>
      <c r="H1193" s="97">
        <v>0</v>
      </c>
    </row>
    <row r="1194" spans="1:8" s="69" customFormat="1" ht="15.95" hidden="1" customHeight="1">
      <c r="A1194" s="93"/>
      <c r="B1194" s="93"/>
      <c r="C1194" s="94"/>
      <c r="D1194" s="95"/>
      <c r="E1194" s="95"/>
      <c r="F1194" s="95"/>
      <c r="G1194" s="95">
        <f>ROUND(E1194*F1194,2)</f>
        <v>0</v>
      </c>
      <c r="H1194" s="97">
        <v>0</v>
      </c>
    </row>
    <row r="1195" spans="1:8" s="69" customFormat="1" ht="15.95" hidden="1" customHeight="1">
      <c r="A1195" s="90" t="s">
        <v>571</v>
      </c>
      <c r="B1195" s="90" t="s">
        <v>571</v>
      </c>
      <c r="C1195" s="91" t="s">
        <v>572</v>
      </c>
      <c r="D1195" s="82"/>
      <c r="E1195" s="82"/>
      <c r="F1195" s="82"/>
      <c r="G1195" s="82">
        <f>SUM(G1196:G1198)</f>
        <v>0</v>
      </c>
      <c r="H1195" s="97"/>
    </row>
    <row r="1196" spans="1:8" s="69" customFormat="1" ht="15.95" hidden="1" customHeight="1">
      <c r="A1196" s="93"/>
      <c r="B1196" s="93"/>
      <c r="C1196" s="94"/>
      <c r="D1196" s="95"/>
      <c r="E1196" s="95"/>
      <c r="F1196" s="95"/>
      <c r="G1196" s="95">
        <f>ROUND(E1196*F1196,2)</f>
        <v>0</v>
      </c>
      <c r="H1196" s="97">
        <v>0</v>
      </c>
    </row>
    <row r="1197" spans="1:8" s="69" customFormat="1" ht="15.95" hidden="1" customHeight="1">
      <c r="A1197" s="93"/>
      <c r="B1197" s="93"/>
      <c r="C1197" s="94"/>
      <c r="D1197" s="95"/>
      <c r="E1197" s="95"/>
      <c r="F1197" s="95"/>
      <c r="G1197" s="95">
        <f>ROUND(E1197*F1197,2)</f>
        <v>0</v>
      </c>
      <c r="H1197" s="97">
        <v>0</v>
      </c>
    </row>
    <row r="1198" spans="1:8" s="69" customFormat="1" ht="15.95" hidden="1" customHeight="1">
      <c r="A1198" s="93"/>
      <c r="B1198" s="93"/>
      <c r="C1198" s="94"/>
      <c r="D1198" s="95"/>
      <c r="E1198" s="95"/>
      <c r="F1198" s="95"/>
      <c r="G1198" s="95">
        <f>ROUND(E1198*F1198,2)</f>
        <v>0</v>
      </c>
      <c r="H1198" s="97">
        <v>0</v>
      </c>
    </row>
    <row r="1199" spans="1:8" s="69" customFormat="1" ht="15.95" hidden="1" customHeight="1">
      <c r="A1199" s="90" t="s">
        <v>573</v>
      </c>
      <c r="B1199" s="90" t="s">
        <v>573</v>
      </c>
      <c r="C1199" s="91" t="s">
        <v>574</v>
      </c>
      <c r="D1199" s="82"/>
      <c r="E1199" s="82"/>
      <c r="F1199" s="82"/>
      <c r="G1199" s="82">
        <f>SUM(G1200:G1202)</f>
        <v>0</v>
      </c>
      <c r="H1199" s="97"/>
    </row>
    <row r="1200" spans="1:8" s="69" customFormat="1" ht="15.95" hidden="1" customHeight="1">
      <c r="A1200" s="93"/>
      <c r="B1200" s="93"/>
      <c r="C1200" s="94"/>
      <c r="D1200" s="95"/>
      <c r="E1200" s="95"/>
      <c r="F1200" s="95"/>
      <c r="G1200" s="95">
        <f>ROUND(E1200*F1200,2)</f>
        <v>0</v>
      </c>
      <c r="H1200" s="97">
        <v>0</v>
      </c>
    </row>
    <row r="1201" spans="1:8" s="69" customFormat="1" ht="15.95" hidden="1" customHeight="1">
      <c r="A1201" s="93"/>
      <c r="B1201" s="93"/>
      <c r="C1201" s="94"/>
      <c r="D1201" s="95"/>
      <c r="E1201" s="95"/>
      <c r="F1201" s="95"/>
      <c r="G1201" s="95">
        <f>ROUND(E1201*F1201,2)</f>
        <v>0</v>
      </c>
      <c r="H1201" s="97">
        <v>0</v>
      </c>
    </row>
    <row r="1202" spans="1:8" s="69" customFormat="1" ht="15.95" hidden="1" customHeight="1">
      <c r="A1202" s="93"/>
      <c r="B1202" s="93"/>
      <c r="C1202" s="94"/>
      <c r="D1202" s="95"/>
      <c r="E1202" s="95"/>
      <c r="F1202" s="95"/>
      <c r="G1202" s="95">
        <f>ROUND(E1202*F1202,2)</f>
        <v>0</v>
      </c>
      <c r="H1202" s="97">
        <v>0</v>
      </c>
    </row>
    <row r="1203" spans="1:8" s="69" customFormat="1" ht="15.95" hidden="1" customHeight="1">
      <c r="A1203" s="90" t="s">
        <v>575</v>
      </c>
      <c r="B1203" s="90" t="s">
        <v>575</v>
      </c>
      <c r="C1203" s="91" t="s">
        <v>576</v>
      </c>
      <c r="D1203" s="82"/>
      <c r="E1203" s="82"/>
      <c r="F1203" s="82"/>
      <c r="G1203" s="82">
        <f>SUM(G1204:G1206)</f>
        <v>0</v>
      </c>
      <c r="H1203" s="97"/>
    </row>
    <row r="1204" spans="1:8" s="69" customFormat="1" ht="15.95" hidden="1" customHeight="1">
      <c r="A1204" s="93"/>
      <c r="B1204" s="93"/>
      <c r="C1204" s="94"/>
      <c r="D1204" s="95"/>
      <c r="E1204" s="95"/>
      <c r="F1204" s="95"/>
      <c r="G1204" s="95">
        <f>ROUND(E1204*F1204,2)</f>
        <v>0</v>
      </c>
      <c r="H1204" s="97">
        <v>0</v>
      </c>
    </row>
    <row r="1205" spans="1:8" s="69" customFormat="1" ht="15.95" hidden="1" customHeight="1">
      <c r="A1205" s="93"/>
      <c r="B1205" s="93"/>
      <c r="C1205" s="94"/>
      <c r="D1205" s="95"/>
      <c r="E1205" s="95"/>
      <c r="F1205" s="95"/>
      <c r="G1205" s="95">
        <f>ROUND(E1205*F1205,2)</f>
        <v>0</v>
      </c>
      <c r="H1205" s="97">
        <v>0</v>
      </c>
    </row>
    <row r="1206" spans="1:8" s="69" customFormat="1" ht="15.95" hidden="1" customHeight="1">
      <c r="A1206" s="93"/>
      <c r="B1206" s="93"/>
      <c r="C1206" s="94"/>
      <c r="D1206" s="95"/>
      <c r="E1206" s="95"/>
      <c r="F1206" s="95"/>
      <c r="G1206" s="95">
        <f>ROUND(E1206*F1206,2)</f>
        <v>0</v>
      </c>
      <c r="H1206" s="97">
        <v>0</v>
      </c>
    </row>
    <row r="1207" spans="1:8" s="69" customFormat="1" ht="15.95" hidden="1" customHeight="1">
      <c r="A1207" s="90" t="s">
        <v>577</v>
      </c>
      <c r="B1207" s="90" t="s">
        <v>577</v>
      </c>
      <c r="C1207" s="91" t="s">
        <v>578</v>
      </c>
      <c r="D1207" s="82"/>
      <c r="E1207" s="82"/>
      <c r="F1207" s="82"/>
      <c r="G1207" s="82">
        <f>SUM(G1208:G1210)</f>
        <v>0</v>
      </c>
      <c r="H1207" s="97"/>
    </row>
    <row r="1208" spans="1:8" s="69" customFormat="1" ht="15.95" hidden="1" customHeight="1">
      <c r="A1208" s="93"/>
      <c r="B1208" s="93"/>
      <c r="C1208" s="94"/>
      <c r="D1208" s="95"/>
      <c r="E1208" s="95"/>
      <c r="F1208" s="95"/>
      <c r="G1208" s="95">
        <f>ROUND(E1208*F1208,2)</f>
        <v>0</v>
      </c>
      <c r="H1208" s="96">
        <v>0</v>
      </c>
    </row>
    <row r="1209" spans="1:8" s="69" customFormat="1" ht="15.95" hidden="1" customHeight="1">
      <c r="A1209" s="93"/>
      <c r="B1209" s="93"/>
      <c r="C1209" s="94"/>
      <c r="D1209" s="95"/>
      <c r="E1209" s="95"/>
      <c r="F1209" s="95"/>
      <c r="G1209" s="95">
        <f>ROUND(E1209*F1209,2)</f>
        <v>0</v>
      </c>
      <c r="H1209" s="96">
        <v>0</v>
      </c>
    </row>
    <row r="1210" spans="1:8" s="69" customFormat="1" ht="15.95" hidden="1" customHeight="1">
      <c r="A1210" s="93"/>
      <c r="B1210" s="93"/>
      <c r="C1210" s="94"/>
      <c r="D1210" s="95"/>
      <c r="E1210" s="95"/>
      <c r="F1210" s="95"/>
      <c r="G1210" s="95">
        <f>ROUND(E1210*F1210,2)</f>
        <v>0</v>
      </c>
      <c r="H1210" s="96">
        <v>0</v>
      </c>
    </row>
    <row r="1211" spans="1:8" s="69" customFormat="1" ht="15.95" hidden="1" customHeight="1">
      <c r="A1211" s="90" t="s">
        <v>579</v>
      </c>
      <c r="B1211" s="90" t="s">
        <v>579</v>
      </c>
      <c r="C1211" s="91" t="s">
        <v>580</v>
      </c>
      <c r="D1211" s="82"/>
      <c r="E1211" s="82"/>
      <c r="F1211" s="82"/>
      <c r="G1211" s="82">
        <f>SUM(G1212:G1214)</f>
        <v>0</v>
      </c>
      <c r="H1211" s="97"/>
    </row>
    <row r="1212" spans="1:8" s="69" customFormat="1" ht="15.95" hidden="1" customHeight="1">
      <c r="A1212" s="93"/>
      <c r="B1212" s="93"/>
      <c r="C1212" s="94"/>
      <c r="D1212" s="95"/>
      <c r="E1212" s="95"/>
      <c r="F1212" s="95"/>
      <c r="G1212" s="95">
        <f>ROUND(E1212*F1212,2)</f>
        <v>0</v>
      </c>
      <c r="H1212" s="96">
        <v>0</v>
      </c>
    </row>
    <row r="1213" spans="1:8" s="69" customFormat="1" ht="15.95" hidden="1" customHeight="1">
      <c r="A1213" s="93"/>
      <c r="B1213" s="93"/>
      <c r="C1213" s="94"/>
      <c r="D1213" s="95"/>
      <c r="E1213" s="95"/>
      <c r="F1213" s="95"/>
      <c r="G1213" s="95">
        <f>ROUND(E1213*F1213,2)</f>
        <v>0</v>
      </c>
      <c r="H1213" s="96">
        <v>0</v>
      </c>
    </row>
    <row r="1214" spans="1:8" s="69" customFormat="1" ht="15.95" hidden="1" customHeight="1">
      <c r="A1214" s="93"/>
      <c r="B1214" s="93"/>
      <c r="C1214" s="94"/>
      <c r="D1214" s="95"/>
      <c r="E1214" s="95"/>
      <c r="F1214" s="95"/>
      <c r="G1214" s="95">
        <f>ROUND(E1214*F1214,2)</f>
        <v>0</v>
      </c>
      <c r="H1214" s="96">
        <v>0</v>
      </c>
    </row>
    <row r="1215" spans="1:8" s="69" customFormat="1" ht="15.95" hidden="1" customHeight="1">
      <c r="A1215" s="90" t="s">
        <v>581</v>
      </c>
      <c r="B1215" s="90" t="s">
        <v>581</v>
      </c>
      <c r="C1215" s="91" t="s">
        <v>582</v>
      </c>
      <c r="D1215" s="82"/>
      <c r="E1215" s="82"/>
      <c r="F1215" s="82"/>
      <c r="G1215" s="82">
        <f>SUM(G1216:G1218)</f>
        <v>0</v>
      </c>
      <c r="H1215" s="97"/>
    </row>
    <row r="1216" spans="1:8" s="69" customFormat="1" ht="15.95" hidden="1" customHeight="1">
      <c r="A1216" s="93"/>
      <c r="B1216" s="93"/>
      <c r="C1216" s="94"/>
      <c r="D1216" s="95"/>
      <c r="E1216" s="95"/>
      <c r="F1216" s="95"/>
      <c r="G1216" s="95">
        <f>ROUND(E1216*F1216,2)</f>
        <v>0</v>
      </c>
      <c r="H1216" s="96">
        <v>0</v>
      </c>
    </row>
    <row r="1217" spans="1:8" s="69" customFormat="1" ht="15.95" hidden="1" customHeight="1">
      <c r="A1217" s="93"/>
      <c r="B1217" s="93"/>
      <c r="C1217" s="94"/>
      <c r="D1217" s="95"/>
      <c r="E1217" s="95"/>
      <c r="F1217" s="95"/>
      <c r="G1217" s="95">
        <f>ROUND(E1217*F1217,2)</f>
        <v>0</v>
      </c>
      <c r="H1217" s="96">
        <v>0</v>
      </c>
    </row>
    <row r="1218" spans="1:8" s="69" customFormat="1" ht="15.95" hidden="1" customHeight="1">
      <c r="A1218" s="93"/>
      <c r="B1218" s="93"/>
      <c r="C1218" s="94"/>
      <c r="D1218" s="95"/>
      <c r="E1218" s="95"/>
      <c r="F1218" s="95"/>
      <c r="G1218" s="95">
        <f>ROUND(E1218*F1218,2)</f>
        <v>0</v>
      </c>
      <c r="H1218" s="96">
        <v>0</v>
      </c>
    </row>
    <row r="1219" spans="1:8" s="69" customFormat="1" ht="15.95" hidden="1" customHeight="1">
      <c r="A1219" s="90" t="s">
        <v>583</v>
      </c>
      <c r="B1219" s="90" t="s">
        <v>583</v>
      </c>
      <c r="C1219" s="91" t="s">
        <v>584</v>
      </c>
      <c r="D1219" s="82"/>
      <c r="E1219" s="82"/>
      <c r="F1219" s="82"/>
      <c r="G1219" s="82">
        <f>SUM(G1220:G1222)</f>
        <v>0</v>
      </c>
      <c r="H1219" s="97"/>
    </row>
    <row r="1220" spans="1:8" s="69" customFormat="1" ht="15.95" hidden="1" customHeight="1">
      <c r="A1220" s="93"/>
      <c r="B1220" s="93"/>
      <c r="C1220" s="94"/>
      <c r="D1220" s="95"/>
      <c r="E1220" s="95"/>
      <c r="F1220" s="95"/>
      <c r="G1220" s="95">
        <f>ROUND(E1220*F1220,2)</f>
        <v>0</v>
      </c>
      <c r="H1220" s="96">
        <v>0</v>
      </c>
    </row>
    <row r="1221" spans="1:8" s="69" customFormat="1" ht="15.95" hidden="1" customHeight="1">
      <c r="A1221" s="93"/>
      <c r="B1221" s="93"/>
      <c r="C1221" s="94"/>
      <c r="D1221" s="95"/>
      <c r="E1221" s="95"/>
      <c r="F1221" s="95"/>
      <c r="G1221" s="95">
        <f>ROUND(E1221*F1221,2)</f>
        <v>0</v>
      </c>
      <c r="H1221" s="96">
        <v>0</v>
      </c>
    </row>
    <row r="1222" spans="1:8" s="69" customFormat="1" ht="15.95" hidden="1" customHeight="1">
      <c r="A1222" s="93"/>
      <c r="B1222" s="93"/>
      <c r="C1222" s="94"/>
      <c r="D1222" s="95"/>
      <c r="E1222" s="95"/>
      <c r="F1222" s="95"/>
      <c r="G1222" s="95">
        <f>ROUND(E1222*F1222,2)</f>
        <v>0</v>
      </c>
      <c r="H1222" s="96">
        <v>0</v>
      </c>
    </row>
    <row r="1223" spans="1:8" s="69" customFormat="1" ht="15.95" hidden="1" customHeight="1">
      <c r="A1223" s="90" t="s">
        <v>585</v>
      </c>
      <c r="B1223" s="90" t="s">
        <v>585</v>
      </c>
      <c r="C1223" s="91" t="s">
        <v>586</v>
      </c>
      <c r="D1223" s="82"/>
      <c r="E1223" s="82"/>
      <c r="F1223" s="82"/>
      <c r="G1223" s="82">
        <f>SUM(G1224:G1226)</f>
        <v>0</v>
      </c>
      <c r="H1223" s="97"/>
    </row>
    <row r="1224" spans="1:8" s="69" customFormat="1" ht="15.95" hidden="1" customHeight="1">
      <c r="A1224" s="93"/>
      <c r="B1224" s="93"/>
      <c r="C1224" s="94"/>
      <c r="D1224" s="95"/>
      <c r="E1224" s="95"/>
      <c r="F1224" s="95"/>
      <c r="G1224" s="95">
        <f>ROUND(E1224*F1224,2)</f>
        <v>0</v>
      </c>
      <c r="H1224" s="96">
        <v>0</v>
      </c>
    </row>
    <row r="1225" spans="1:8" s="69" customFormat="1" ht="15.95" hidden="1" customHeight="1">
      <c r="A1225" s="93"/>
      <c r="B1225" s="93"/>
      <c r="C1225" s="94"/>
      <c r="D1225" s="95"/>
      <c r="E1225" s="95"/>
      <c r="F1225" s="95"/>
      <c r="G1225" s="95">
        <f>ROUND(E1225*F1225,2)</f>
        <v>0</v>
      </c>
      <c r="H1225" s="96">
        <v>0</v>
      </c>
    </row>
    <row r="1226" spans="1:8" s="69" customFormat="1" ht="15.95" hidden="1" customHeight="1">
      <c r="A1226" s="93"/>
      <c r="B1226" s="93"/>
      <c r="C1226" s="94"/>
      <c r="D1226" s="95"/>
      <c r="E1226" s="95"/>
      <c r="F1226" s="95"/>
      <c r="G1226" s="95">
        <f>ROUND(E1226*F1226,2)</f>
        <v>0</v>
      </c>
      <c r="H1226" s="96">
        <v>0</v>
      </c>
    </row>
    <row r="1227" spans="1:8" s="69" customFormat="1" ht="15.95" hidden="1" customHeight="1">
      <c r="A1227" s="83"/>
      <c r="B1227" s="83"/>
      <c r="C1227" s="84" t="s">
        <v>587</v>
      </c>
      <c r="D1227" s="85"/>
      <c r="E1227" s="85"/>
      <c r="F1227" s="85"/>
      <c r="G1227" s="85"/>
      <c r="H1227" s="97"/>
    </row>
    <row r="1228" spans="1:8" s="69" customFormat="1" ht="15.95" hidden="1" customHeight="1">
      <c r="A1228" s="106" t="s">
        <v>588</v>
      </c>
      <c r="B1228" s="106" t="s">
        <v>588</v>
      </c>
      <c r="C1228" s="88" t="s">
        <v>589</v>
      </c>
      <c r="D1228" s="89"/>
      <c r="E1228" s="89"/>
      <c r="F1228" s="89"/>
      <c r="G1228" s="89">
        <f>SG_15_01+SG_15_02+SG_15_03+SG_15_04+SG_15_05+SG_15_06+SG_15_07+SG_15_08+SG_15_09+SG_15_10+SG_15_11+SG_15_12+SG_15_13+SG_15_14+SG_15_15+SG_15_16+SG_15_17+SG_15_18+SG_15_19+SG_15_20</f>
        <v>0</v>
      </c>
      <c r="H1228" s="97"/>
    </row>
    <row r="1229" spans="1:8" s="69" customFormat="1" ht="15.95" hidden="1" customHeight="1">
      <c r="A1229" s="90" t="s">
        <v>590</v>
      </c>
      <c r="B1229" s="90" t="s">
        <v>590</v>
      </c>
      <c r="C1229" s="91" t="s">
        <v>591</v>
      </c>
      <c r="D1229" s="82"/>
      <c r="E1229" s="82"/>
      <c r="F1229" s="82"/>
      <c r="G1229" s="82">
        <f>SUM(G1230:G1232)</f>
        <v>0</v>
      </c>
      <c r="H1229" s="97"/>
    </row>
    <row r="1230" spans="1:8" s="69" customFormat="1" ht="15.95" hidden="1" customHeight="1">
      <c r="A1230" s="93"/>
      <c r="B1230" s="93"/>
      <c r="C1230" s="94"/>
      <c r="D1230" s="95"/>
      <c r="E1230" s="95"/>
      <c r="F1230" s="95"/>
      <c r="G1230" s="95">
        <f>ROUND(E1230*F1230,2)</f>
        <v>0</v>
      </c>
      <c r="H1230" s="97">
        <v>0</v>
      </c>
    </row>
    <row r="1231" spans="1:8" s="69" customFormat="1" ht="15.95" hidden="1" customHeight="1">
      <c r="A1231" s="93"/>
      <c r="B1231" s="93"/>
      <c r="C1231" s="94"/>
      <c r="D1231" s="95"/>
      <c r="E1231" s="95"/>
      <c r="F1231" s="95"/>
      <c r="G1231" s="95">
        <f>ROUND(E1231*F1231,2)</f>
        <v>0</v>
      </c>
      <c r="H1231" s="97">
        <v>0</v>
      </c>
    </row>
    <row r="1232" spans="1:8" s="69" customFormat="1" ht="15.95" hidden="1" customHeight="1">
      <c r="A1232" s="93"/>
      <c r="B1232" s="93"/>
      <c r="C1232" s="94"/>
      <c r="D1232" s="95"/>
      <c r="E1232" s="95"/>
      <c r="F1232" s="95"/>
      <c r="G1232" s="95">
        <f>ROUND(E1232*F1232,2)</f>
        <v>0</v>
      </c>
      <c r="H1232" s="97">
        <v>0</v>
      </c>
    </row>
    <row r="1233" spans="1:8" s="69" customFormat="1" ht="15.95" hidden="1" customHeight="1">
      <c r="A1233" s="90" t="s">
        <v>592</v>
      </c>
      <c r="B1233" s="90" t="s">
        <v>592</v>
      </c>
      <c r="C1233" s="91" t="s">
        <v>593</v>
      </c>
      <c r="D1233" s="82"/>
      <c r="E1233" s="82"/>
      <c r="F1233" s="82"/>
      <c r="G1233" s="82">
        <f>SUM(G1234:G1236)</f>
        <v>0</v>
      </c>
      <c r="H1233" s="97"/>
    </row>
    <row r="1234" spans="1:8" s="69" customFormat="1" ht="15.95" hidden="1" customHeight="1">
      <c r="A1234" s="93"/>
      <c r="B1234" s="93"/>
      <c r="C1234" s="94"/>
      <c r="D1234" s="95"/>
      <c r="E1234" s="95"/>
      <c r="F1234" s="95"/>
      <c r="G1234" s="95">
        <f>ROUND(E1234*F1234,2)</f>
        <v>0</v>
      </c>
      <c r="H1234" s="97">
        <v>0</v>
      </c>
    </row>
    <row r="1235" spans="1:8" s="69" customFormat="1" ht="15.95" hidden="1" customHeight="1">
      <c r="A1235" s="93"/>
      <c r="B1235" s="93"/>
      <c r="C1235" s="94"/>
      <c r="D1235" s="95"/>
      <c r="E1235" s="95"/>
      <c r="F1235" s="95"/>
      <c r="G1235" s="95">
        <f>ROUND(E1235*F1235,2)</f>
        <v>0</v>
      </c>
      <c r="H1235" s="97">
        <v>0</v>
      </c>
    </row>
    <row r="1236" spans="1:8" s="69" customFormat="1" ht="15.95" hidden="1" customHeight="1">
      <c r="A1236" s="93"/>
      <c r="B1236" s="93"/>
      <c r="C1236" s="94"/>
      <c r="D1236" s="95"/>
      <c r="E1236" s="95"/>
      <c r="F1236" s="95"/>
      <c r="G1236" s="95">
        <f>ROUND(E1236*F1236,2)</f>
        <v>0</v>
      </c>
      <c r="H1236" s="97">
        <v>0</v>
      </c>
    </row>
    <row r="1237" spans="1:8" s="69" customFormat="1" ht="15.95" hidden="1" customHeight="1">
      <c r="A1237" s="90" t="s">
        <v>594</v>
      </c>
      <c r="B1237" s="90" t="s">
        <v>594</v>
      </c>
      <c r="C1237" s="91" t="s">
        <v>595</v>
      </c>
      <c r="D1237" s="82"/>
      <c r="E1237" s="82"/>
      <c r="F1237" s="82"/>
      <c r="G1237" s="82">
        <f>SUM(G1238:G1240)</f>
        <v>0</v>
      </c>
      <c r="H1237" s="97"/>
    </row>
    <row r="1238" spans="1:8" s="69" customFormat="1" ht="15.95" hidden="1" customHeight="1">
      <c r="A1238" s="93"/>
      <c r="B1238" s="93"/>
      <c r="C1238" s="94"/>
      <c r="D1238" s="95"/>
      <c r="E1238" s="95"/>
      <c r="F1238" s="95"/>
      <c r="G1238" s="95">
        <f>ROUND(E1238*F1238,2)</f>
        <v>0</v>
      </c>
      <c r="H1238" s="97">
        <v>0</v>
      </c>
    </row>
    <row r="1239" spans="1:8" s="69" customFormat="1" ht="15.95" hidden="1" customHeight="1">
      <c r="A1239" s="93"/>
      <c r="B1239" s="93"/>
      <c r="C1239" s="94"/>
      <c r="D1239" s="95"/>
      <c r="E1239" s="95"/>
      <c r="F1239" s="95"/>
      <c r="G1239" s="95">
        <f>ROUND(E1239*F1239,2)</f>
        <v>0</v>
      </c>
      <c r="H1239" s="97">
        <v>0</v>
      </c>
    </row>
    <row r="1240" spans="1:8" s="69" customFormat="1" ht="15.95" hidden="1" customHeight="1">
      <c r="A1240" s="93"/>
      <c r="B1240" s="93"/>
      <c r="C1240" s="94"/>
      <c r="D1240" s="95"/>
      <c r="E1240" s="95"/>
      <c r="F1240" s="95"/>
      <c r="G1240" s="95">
        <f>ROUND(E1240*F1240,2)</f>
        <v>0</v>
      </c>
      <c r="H1240" s="97">
        <v>0</v>
      </c>
    </row>
    <row r="1241" spans="1:8" s="69" customFormat="1" ht="15.95" hidden="1" customHeight="1">
      <c r="A1241" s="90" t="s">
        <v>596</v>
      </c>
      <c r="B1241" s="90" t="s">
        <v>596</v>
      </c>
      <c r="C1241" s="91" t="s">
        <v>597</v>
      </c>
      <c r="D1241" s="82"/>
      <c r="E1241" s="82"/>
      <c r="F1241" s="82"/>
      <c r="G1241" s="82">
        <f>SUM(G1242:G1244)</f>
        <v>0</v>
      </c>
      <c r="H1241" s="97"/>
    </row>
    <row r="1242" spans="1:8" s="69" customFormat="1" ht="15.95" hidden="1" customHeight="1">
      <c r="A1242" s="93"/>
      <c r="B1242" s="93"/>
      <c r="C1242" s="94"/>
      <c r="D1242" s="95"/>
      <c r="E1242" s="95"/>
      <c r="F1242" s="95"/>
      <c r="G1242" s="95">
        <f>ROUND(E1242*F1242,2)</f>
        <v>0</v>
      </c>
      <c r="H1242" s="97">
        <v>0</v>
      </c>
    </row>
    <row r="1243" spans="1:8" s="69" customFormat="1" ht="15.95" hidden="1" customHeight="1">
      <c r="A1243" s="93"/>
      <c r="B1243" s="93"/>
      <c r="C1243" s="94"/>
      <c r="D1243" s="95"/>
      <c r="E1243" s="95"/>
      <c r="F1243" s="95"/>
      <c r="G1243" s="95">
        <f>ROUND(E1243*F1243,2)</f>
        <v>0</v>
      </c>
      <c r="H1243" s="97">
        <v>0</v>
      </c>
    </row>
    <row r="1244" spans="1:8" s="69" customFormat="1" ht="15.95" hidden="1" customHeight="1">
      <c r="A1244" s="93"/>
      <c r="B1244" s="93"/>
      <c r="C1244" s="94"/>
      <c r="D1244" s="95"/>
      <c r="E1244" s="95"/>
      <c r="F1244" s="95"/>
      <c r="G1244" s="95">
        <f>ROUND(E1244*F1244,2)</f>
        <v>0</v>
      </c>
      <c r="H1244" s="97">
        <v>0</v>
      </c>
    </row>
    <row r="1245" spans="1:8" s="69" customFormat="1" ht="15.95" hidden="1" customHeight="1">
      <c r="A1245" s="90" t="s">
        <v>598</v>
      </c>
      <c r="B1245" s="90" t="s">
        <v>598</v>
      </c>
      <c r="C1245" s="91" t="s">
        <v>599</v>
      </c>
      <c r="D1245" s="82"/>
      <c r="E1245" s="82"/>
      <c r="F1245" s="82"/>
      <c r="G1245" s="82">
        <f>SUM(G1246:G1248)</f>
        <v>0</v>
      </c>
      <c r="H1245" s="97"/>
    </row>
    <row r="1246" spans="1:8" s="69" customFormat="1" ht="15.95" hidden="1" customHeight="1">
      <c r="A1246" s="93"/>
      <c r="B1246" s="93"/>
      <c r="C1246" s="94"/>
      <c r="D1246" s="95"/>
      <c r="E1246" s="95"/>
      <c r="F1246" s="95"/>
      <c r="G1246" s="95">
        <f>ROUND(E1246*F1246,2)</f>
        <v>0</v>
      </c>
      <c r="H1246" s="97">
        <v>0</v>
      </c>
    </row>
    <row r="1247" spans="1:8" s="69" customFormat="1" ht="15.95" hidden="1" customHeight="1">
      <c r="A1247" s="93"/>
      <c r="B1247" s="93"/>
      <c r="C1247" s="94"/>
      <c r="D1247" s="95"/>
      <c r="E1247" s="95"/>
      <c r="F1247" s="95"/>
      <c r="G1247" s="95">
        <f>ROUND(E1247*F1247,2)</f>
        <v>0</v>
      </c>
      <c r="H1247" s="97">
        <v>0</v>
      </c>
    </row>
    <row r="1248" spans="1:8" s="69" customFormat="1" ht="15.95" hidden="1" customHeight="1">
      <c r="A1248" s="93"/>
      <c r="B1248" s="93"/>
      <c r="C1248" s="94"/>
      <c r="D1248" s="95"/>
      <c r="E1248" s="95"/>
      <c r="F1248" s="95"/>
      <c r="G1248" s="95">
        <f>ROUND(E1248*F1248,2)</f>
        <v>0</v>
      </c>
      <c r="H1248" s="97">
        <v>0</v>
      </c>
    </row>
    <row r="1249" spans="1:8" s="69" customFormat="1" ht="15.95" hidden="1" customHeight="1">
      <c r="A1249" s="90" t="s">
        <v>600</v>
      </c>
      <c r="B1249" s="90" t="s">
        <v>600</v>
      </c>
      <c r="C1249" s="91" t="s">
        <v>601</v>
      </c>
      <c r="D1249" s="82"/>
      <c r="E1249" s="82"/>
      <c r="F1249" s="82"/>
      <c r="G1249" s="82">
        <f>SUM(G1250:G1252)</f>
        <v>0</v>
      </c>
      <c r="H1249" s="97"/>
    </row>
    <row r="1250" spans="1:8" s="69" customFormat="1" ht="15.95" hidden="1" customHeight="1">
      <c r="A1250" s="93"/>
      <c r="B1250" s="93"/>
      <c r="C1250" s="94"/>
      <c r="D1250" s="95"/>
      <c r="E1250" s="95"/>
      <c r="F1250" s="95"/>
      <c r="G1250" s="95">
        <f>ROUND(E1250*F1250,2)</f>
        <v>0</v>
      </c>
      <c r="H1250" s="97">
        <v>0</v>
      </c>
    </row>
    <row r="1251" spans="1:8" s="69" customFormat="1" ht="15.95" hidden="1" customHeight="1">
      <c r="A1251" s="93"/>
      <c r="B1251" s="93"/>
      <c r="C1251" s="94"/>
      <c r="D1251" s="95"/>
      <c r="E1251" s="95"/>
      <c r="F1251" s="95"/>
      <c r="G1251" s="95">
        <f>ROUND(E1251*F1251,2)</f>
        <v>0</v>
      </c>
      <c r="H1251" s="97">
        <v>0</v>
      </c>
    </row>
    <row r="1252" spans="1:8" s="69" customFormat="1" ht="15.95" hidden="1" customHeight="1">
      <c r="A1252" s="93"/>
      <c r="B1252" s="93"/>
      <c r="C1252" s="94"/>
      <c r="D1252" s="95"/>
      <c r="E1252" s="95"/>
      <c r="F1252" s="95"/>
      <c r="G1252" s="95">
        <f>ROUND(E1252*F1252,2)</f>
        <v>0</v>
      </c>
      <c r="H1252" s="97">
        <v>0</v>
      </c>
    </row>
    <row r="1253" spans="1:8" s="69" customFormat="1" ht="15.95" hidden="1" customHeight="1">
      <c r="A1253" s="90" t="s">
        <v>602</v>
      </c>
      <c r="B1253" s="90" t="s">
        <v>602</v>
      </c>
      <c r="C1253" s="91" t="s">
        <v>603</v>
      </c>
      <c r="D1253" s="82"/>
      <c r="E1253" s="82"/>
      <c r="F1253" s="82"/>
      <c r="G1253" s="82">
        <f>SUM(G1254:G1256)</f>
        <v>0</v>
      </c>
      <c r="H1253" s="97"/>
    </row>
    <row r="1254" spans="1:8" s="69" customFormat="1" ht="15.95" hidden="1" customHeight="1">
      <c r="A1254" s="93"/>
      <c r="B1254" s="93"/>
      <c r="C1254" s="94"/>
      <c r="D1254" s="95"/>
      <c r="E1254" s="95"/>
      <c r="F1254" s="95"/>
      <c r="G1254" s="95">
        <f>ROUND(E1254*F1254,2)</f>
        <v>0</v>
      </c>
      <c r="H1254" s="97">
        <v>0</v>
      </c>
    </row>
    <row r="1255" spans="1:8" s="69" customFormat="1" ht="15.95" hidden="1" customHeight="1">
      <c r="A1255" s="93"/>
      <c r="B1255" s="93"/>
      <c r="C1255" s="94"/>
      <c r="D1255" s="95"/>
      <c r="E1255" s="95"/>
      <c r="F1255" s="95"/>
      <c r="G1255" s="95">
        <f>ROUND(E1255*F1255,2)</f>
        <v>0</v>
      </c>
      <c r="H1255" s="97">
        <v>0</v>
      </c>
    </row>
    <row r="1256" spans="1:8" s="69" customFormat="1" ht="15.95" hidden="1" customHeight="1">
      <c r="A1256" s="93"/>
      <c r="B1256" s="93"/>
      <c r="C1256" s="94"/>
      <c r="D1256" s="95"/>
      <c r="E1256" s="95"/>
      <c r="F1256" s="95"/>
      <c r="G1256" s="95">
        <f>ROUND(E1256*F1256,2)</f>
        <v>0</v>
      </c>
      <c r="H1256" s="97">
        <v>0</v>
      </c>
    </row>
    <row r="1257" spans="1:8" s="69" customFormat="1" ht="15.95" hidden="1" customHeight="1">
      <c r="A1257" s="90" t="s">
        <v>604</v>
      </c>
      <c r="B1257" s="90" t="s">
        <v>604</v>
      </c>
      <c r="C1257" s="91" t="s">
        <v>605</v>
      </c>
      <c r="D1257" s="82"/>
      <c r="E1257" s="82"/>
      <c r="F1257" s="82"/>
      <c r="G1257" s="82">
        <f>SUM(G1258:G1260)</f>
        <v>0</v>
      </c>
      <c r="H1257" s="97"/>
    </row>
    <row r="1258" spans="1:8" s="69" customFormat="1" ht="15.95" hidden="1" customHeight="1">
      <c r="A1258" s="93"/>
      <c r="B1258" s="93"/>
      <c r="C1258" s="94"/>
      <c r="D1258" s="95"/>
      <c r="E1258" s="95"/>
      <c r="F1258" s="95"/>
      <c r="G1258" s="95">
        <f>ROUND(E1258*F1258,2)</f>
        <v>0</v>
      </c>
      <c r="H1258" s="97">
        <v>0</v>
      </c>
    </row>
    <row r="1259" spans="1:8" s="69" customFormat="1" ht="15.95" hidden="1" customHeight="1">
      <c r="A1259" s="93"/>
      <c r="B1259" s="93"/>
      <c r="C1259" s="94"/>
      <c r="D1259" s="95"/>
      <c r="E1259" s="95"/>
      <c r="F1259" s="95"/>
      <c r="G1259" s="95">
        <f>ROUND(E1259*F1259,2)</f>
        <v>0</v>
      </c>
      <c r="H1259" s="97">
        <v>0</v>
      </c>
    </row>
    <row r="1260" spans="1:8" s="69" customFormat="1" ht="15.95" hidden="1" customHeight="1">
      <c r="A1260" s="93"/>
      <c r="B1260" s="93"/>
      <c r="C1260" s="94"/>
      <c r="D1260" s="95"/>
      <c r="E1260" s="95"/>
      <c r="F1260" s="95"/>
      <c r="G1260" s="95">
        <f>ROUND(E1260*F1260,2)</f>
        <v>0</v>
      </c>
      <c r="H1260" s="97">
        <v>0</v>
      </c>
    </row>
    <row r="1261" spans="1:8" s="69" customFormat="1" ht="15.95" hidden="1" customHeight="1">
      <c r="A1261" s="90" t="s">
        <v>606</v>
      </c>
      <c r="B1261" s="90" t="s">
        <v>606</v>
      </c>
      <c r="C1261" s="91" t="s">
        <v>607</v>
      </c>
      <c r="D1261" s="82"/>
      <c r="E1261" s="82"/>
      <c r="F1261" s="82"/>
      <c r="G1261" s="82">
        <f>SUM(G1262:G1264)</f>
        <v>0</v>
      </c>
      <c r="H1261" s="97"/>
    </row>
    <row r="1262" spans="1:8" s="69" customFormat="1" ht="15.95" hidden="1" customHeight="1">
      <c r="A1262" s="93"/>
      <c r="B1262" s="93"/>
      <c r="C1262" s="94"/>
      <c r="D1262" s="95"/>
      <c r="E1262" s="95"/>
      <c r="F1262" s="95"/>
      <c r="G1262" s="95">
        <f>ROUND(E1262*F1262,2)</f>
        <v>0</v>
      </c>
      <c r="H1262" s="97">
        <v>0</v>
      </c>
    </row>
    <row r="1263" spans="1:8" s="69" customFormat="1" ht="15.95" hidden="1" customHeight="1">
      <c r="A1263" s="93"/>
      <c r="B1263" s="93"/>
      <c r="C1263" s="94"/>
      <c r="D1263" s="95"/>
      <c r="E1263" s="95"/>
      <c r="F1263" s="95"/>
      <c r="G1263" s="95">
        <f>ROUND(E1263*F1263,2)</f>
        <v>0</v>
      </c>
      <c r="H1263" s="97">
        <v>0</v>
      </c>
    </row>
    <row r="1264" spans="1:8" s="69" customFormat="1" ht="15.95" hidden="1" customHeight="1">
      <c r="A1264" s="93"/>
      <c r="B1264" s="93"/>
      <c r="C1264" s="94"/>
      <c r="D1264" s="95"/>
      <c r="E1264" s="95"/>
      <c r="F1264" s="95"/>
      <c r="G1264" s="95">
        <f>ROUND(E1264*F1264,2)</f>
        <v>0</v>
      </c>
      <c r="H1264" s="97">
        <v>0</v>
      </c>
    </row>
    <row r="1265" spans="1:8" s="69" customFormat="1" ht="15.95" hidden="1" customHeight="1">
      <c r="A1265" s="90" t="s">
        <v>608</v>
      </c>
      <c r="B1265" s="90" t="s">
        <v>608</v>
      </c>
      <c r="C1265" s="91" t="s">
        <v>609</v>
      </c>
      <c r="D1265" s="82"/>
      <c r="E1265" s="82"/>
      <c r="F1265" s="82"/>
      <c r="G1265" s="82">
        <f>SUM(G1266:G1268)</f>
        <v>0</v>
      </c>
      <c r="H1265" s="97"/>
    </row>
    <row r="1266" spans="1:8" s="69" customFormat="1" ht="15.95" hidden="1" customHeight="1">
      <c r="A1266" s="93"/>
      <c r="B1266" s="93"/>
      <c r="C1266" s="94"/>
      <c r="D1266" s="95"/>
      <c r="E1266" s="95"/>
      <c r="F1266" s="95"/>
      <c r="G1266" s="95">
        <f>ROUND(E1266*F1266,2)</f>
        <v>0</v>
      </c>
      <c r="H1266" s="97">
        <v>0</v>
      </c>
    </row>
    <row r="1267" spans="1:8" s="69" customFormat="1" ht="15.95" hidden="1" customHeight="1">
      <c r="A1267" s="93"/>
      <c r="B1267" s="93"/>
      <c r="C1267" s="94"/>
      <c r="D1267" s="95"/>
      <c r="E1267" s="95"/>
      <c r="F1267" s="95"/>
      <c r="G1267" s="95">
        <f>ROUND(E1267*F1267,2)</f>
        <v>0</v>
      </c>
      <c r="H1267" s="97">
        <v>0</v>
      </c>
    </row>
    <row r="1268" spans="1:8" s="69" customFormat="1" ht="15.95" hidden="1" customHeight="1">
      <c r="A1268" s="93"/>
      <c r="B1268" s="93"/>
      <c r="C1268" s="94"/>
      <c r="D1268" s="95"/>
      <c r="E1268" s="95"/>
      <c r="F1268" s="95"/>
      <c r="G1268" s="95">
        <f>ROUND(E1268*F1268,2)</f>
        <v>0</v>
      </c>
      <c r="H1268" s="97">
        <v>0</v>
      </c>
    </row>
    <row r="1269" spans="1:8" s="69" customFormat="1" ht="15.95" hidden="1" customHeight="1">
      <c r="A1269" s="90" t="s">
        <v>610</v>
      </c>
      <c r="B1269" s="90" t="s">
        <v>610</v>
      </c>
      <c r="C1269" s="91" t="s">
        <v>611</v>
      </c>
      <c r="D1269" s="82"/>
      <c r="E1269" s="82"/>
      <c r="F1269" s="82"/>
      <c r="G1269" s="82">
        <f>SUM(G1270:G1272)</f>
        <v>0</v>
      </c>
      <c r="H1269" s="97"/>
    </row>
    <row r="1270" spans="1:8" s="69" customFormat="1" ht="15.95" hidden="1" customHeight="1">
      <c r="A1270" s="93"/>
      <c r="B1270" s="93"/>
      <c r="C1270" s="94"/>
      <c r="D1270" s="95"/>
      <c r="E1270" s="95"/>
      <c r="F1270" s="95"/>
      <c r="G1270" s="95">
        <f>ROUND(E1270*F1270,2)</f>
        <v>0</v>
      </c>
      <c r="H1270" s="97">
        <v>0</v>
      </c>
    </row>
    <row r="1271" spans="1:8" s="69" customFormat="1" ht="15.95" hidden="1" customHeight="1">
      <c r="A1271" s="93"/>
      <c r="B1271" s="93"/>
      <c r="C1271" s="94"/>
      <c r="D1271" s="95"/>
      <c r="E1271" s="95"/>
      <c r="F1271" s="95"/>
      <c r="G1271" s="95">
        <f>ROUND(E1271*F1271,2)</f>
        <v>0</v>
      </c>
      <c r="H1271" s="97">
        <v>0</v>
      </c>
    </row>
    <row r="1272" spans="1:8" s="69" customFormat="1" ht="15.95" hidden="1" customHeight="1">
      <c r="A1272" s="93"/>
      <c r="B1272" s="93"/>
      <c r="C1272" s="94"/>
      <c r="D1272" s="95"/>
      <c r="E1272" s="95"/>
      <c r="F1272" s="95"/>
      <c r="G1272" s="95">
        <f>ROUND(E1272*F1272,2)</f>
        <v>0</v>
      </c>
      <c r="H1272" s="97">
        <v>0</v>
      </c>
    </row>
    <row r="1273" spans="1:8" s="69" customFormat="1" ht="15.95" hidden="1" customHeight="1">
      <c r="A1273" s="90" t="s">
        <v>612</v>
      </c>
      <c r="B1273" s="90" t="s">
        <v>612</v>
      </c>
      <c r="C1273" s="91" t="s">
        <v>613</v>
      </c>
      <c r="D1273" s="82"/>
      <c r="E1273" s="82"/>
      <c r="F1273" s="82"/>
      <c r="G1273" s="82">
        <f>SUM(G1274:G1276)</f>
        <v>0</v>
      </c>
      <c r="H1273" s="97"/>
    </row>
    <row r="1274" spans="1:8" s="69" customFormat="1" ht="15.95" hidden="1" customHeight="1">
      <c r="A1274" s="93"/>
      <c r="B1274" s="93"/>
      <c r="C1274" s="94"/>
      <c r="D1274" s="95"/>
      <c r="E1274" s="95"/>
      <c r="F1274" s="95"/>
      <c r="G1274" s="95">
        <f>ROUND(E1274*F1274,2)</f>
        <v>0</v>
      </c>
      <c r="H1274" s="97">
        <v>0</v>
      </c>
    </row>
    <row r="1275" spans="1:8" s="69" customFormat="1" ht="15.95" hidden="1" customHeight="1">
      <c r="A1275" s="93"/>
      <c r="B1275" s="93"/>
      <c r="C1275" s="94"/>
      <c r="D1275" s="95"/>
      <c r="E1275" s="95"/>
      <c r="F1275" s="95"/>
      <c r="G1275" s="95">
        <f>ROUND(E1275*F1275,2)</f>
        <v>0</v>
      </c>
      <c r="H1275" s="97">
        <v>0</v>
      </c>
    </row>
    <row r="1276" spans="1:8" s="69" customFormat="1" ht="15.95" hidden="1" customHeight="1">
      <c r="A1276" s="93"/>
      <c r="B1276" s="93"/>
      <c r="C1276" s="94"/>
      <c r="D1276" s="95"/>
      <c r="E1276" s="95"/>
      <c r="F1276" s="95"/>
      <c r="G1276" s="95">
        <f>ROUND(E1276*F1276,2)</f>
        <v>0</v>
      </c>
      <c r="H1276" s="97">
        <v>0</v>
      </c>
    </row>
    <row r="1277" spans="1:8" s="69" customFormat="1" ht="15.95" hidden="1" customHeight="1">
      <c r="A1277" s="90" t="s">
        <v>614</v>
      </c>
      <c r="B1277" s="90" t="s">
        <v>614</v>
      </c>
      <c r="C1277" s="91" t="s">
        <v>615</v>
      </c>
      <c r="D1277" s="82"/>
      <c r="E1277" s="82"/>
      <c r="F1277" s="82"/>
      <c r="G1277" s="82">
        <f>SUM(G1278:G1280)</f>
        <v>0</v>
      </c>
      <c r="H1277" s="97"/>
    </row>
    <row r="1278" spans="1:8" s="69" customFormat="1" ht="15.95" hidden="1" customHeight="1">
      <c r="A1278" s="93"/>
      <c r="B1278" s="93"/>
      <c r="C1278" s="94"/>
      <c r="D1278" s="95"/>
      <c r="E1278" s="95"/>
      <c r="F1278" s="95"/>
      <c r="G1278" s="95">
        <f>ROUND(E1278*F1278,2)</f>
        <v>0</v>
      </c>
      <c r="H1278" s="97">
        <v>0</v>
      </c>
    </row>
    <row r="1279" spans="1:8" s="69" customFormat="1" ht="15.95" hidden="1" customHeight="1">
      <c r="A1279" s="93"/>
      <c r="B1279" s="93"/>
      <c r="C1279" s="94"/>
      <c r="D1279" s="95"/>
      <c r="E1279" s="95"/>
      <c r="F1279" s="95"/>
      <c r="G1279" s="95">
        <f>ROUND(E1279*F1279,2)</f>
        <v>0</v>
      </c>
      <c r="H1279" s="97">
        <v>0</v>
      </c>
    </row>
    <row r="1280" spans="1:8" s="69" customFormat="1" ht="15.95" hidden="1" customHeight="1">
      <c r="A1280" s="93"/>
      <c r="B1280" s="93"/>
      <c r="C1280" s="94"/>
      <c r="D1280" s="95"/>
      <c r="E1280" s="95"/>
      <c r="F1280" s="95"/>
      <c r="G1280" s="95">
        <f>ROUND(E1280*F1280,2)</f>
        <v>0</v>
      </c>
      <c r="H1280" s="97">
        <v>0</v>
      </c>
    </row>
    <row r="1281" spans="1:8" s="69" customFormat="1" ht="15.95" hidden="1" customHeight="1">
      <c r="A1281" s="90" t="s">
        <v>616</v>
      </c>
      <c r="B1281" s="90" t="s">
        <v>616</v>
      </c>
      <c r="C1281" s="91" t="s">
        <v>617</v>
      </c>
      <c r="D1281" s="82"/>
      <c r="E1281" s="82"/>
      <c r="F1281" s="82"/>
      <c r="G1281" s="82">
        <f>SUM(G1282:G1284)</f>
        <v>0</v>
      </c>
      <c r="H1281" s="97"/>
    </row>
    <row r="1282" spans="1:8" s="69" customFormat="1" ht="15.95" hidden="1" customHeight="1">
      <c r="A1282" s="93"/>
      <c r="B1282" s="93"/>
      <c r="C1282" s="94"/>
      <c r="D1282" s="95"/>
      <c r="E1282" s="95"/>
      <c r="F1282" s="95"/>
      <c r="G1282" s="95">
        <f>ROUND(E1282*F1282,2)</f>
        <v>0</v>
      </c>
      <c r="H1282" s="97">
        <v>0</v>
      </c>
    </row>
    <row r="1283" spans="1:8" s="69" customFormat="1" ht="15.95" hidden="1" customHeight="1">
      <c r="A1283" s="93"/>
      <c r="B1283" s="93"/>
      <c r="C1283" s="94"/>
      <c r="D1283" s="95"/>
      <c r="E1283" s="95"/>
      <c r="F1283" s="95"/>
      <c r="G1283" s="95">
        <f>ROUND(E1283*F1283,2)</f>
        <v>0</v>
      </c>
      <c r="H1283" s="97">
        <v>0</v>
      </c>
    </row>
    <row r="1284" spans="1:8" s="69" customFormat="1" ht="15.95" hidden="1" customHeight="1">
      <c r="A1284" s="93"/>
      <c r="B1284" s="93"/>
      <c r="C1284" s="94"/>
      <c r="D1284" s="95"/>
      <c r="E1284" s="95"/>
      <c r="F1284" s="95"/>
      <c r="G1284" s="95">
        <f>ROUND(E1284*F1284,2)</f>
        <v>0</v>
      </c>
      <c r="H1284" s="97">
        <v>0</v>
      </c>
    </row>
    <row r="1285" spans="1:8" s="69" customFormat="1" ht="15.95" hidden="1" customHeight="1">
      <c r="A1285" s="90" t="s">
        <v>618</v>
      </c>
      <c r="B1285" s="90" t="s">
        <v>618</v>
      </c>
      <c r="C1285" s="91" t="s">
        <v>619</v>
      </c>
      <c r="D1285" s="82"/>
      <c r="E1285" s="82"/>
      <c r="F1285" s="82"/>
      <c r="G1285" s="82">
        <f>SUM(G1286:G1288)</f>
        <v>0</v>
      </c>
      <c r="H1285" s="97"/>
    </row>
    <row r="1286" spans="1:8" s="69" customFormat="1" ht="15.95" hidden="1" customHeight="1">
      <c r="A1286" s="93"/>
      <c r="B1286" s="93"/>
      <c r="C1286" s="94"/>
      <c r="D1286" s="95"/>
      <c r="E1286" s="95"/>
      <c r="F1286" s="95"/>
      <c r="G1286" s="95">
        <f>ROUND(E1286*F1286,2)</f>
        <v>0</v>
      </c>
      <c r="H1286" s="97">
        <v>0</v>
      </c>
    </row>
    <row r="1287" spans="1:8" s="69" customFormat="1" ht="15.95" hidden="1" customHeight="1">
      <c r="A1287" s="93"/>
      <c r="B1287" s="93"/>
      <c r="C1287" s="94"/>
      <c r="D1287" s="95"/>
      <c r="E1287" s="95"/>
      <c r="F1287" s="95"/>
      <c r="G1287" s="95">
        <f>ROUND(E1287*F1287,2)</f>
        <v>0</v>
      </c>
      <c r="H1287" s="97">
        <v>0</v>
      </c>
    </row>
    <row r="1288" spans="1:8" s="69" customFormat="1" ht="15.95" hidden="1" customHeight="1">
      <c r="A1288" s="93"/>
      <c r="B1288" s="93"/>
      <c r="C1288" s="94"/>
      <c r="D1288" s="95"/>
      <c r="E1288" s="95"/>
      <c r="F1288" s="95"/>
      <c r="G1288" s="95">
        <f>ROUND(E1288*F1288,2)</f>
        <v>0</v>
      </c>
      <c r="H1288" s="97">
        <v>0</v>
      </c>
    </row>
    <row r="1289" spans="1:8" s="69" customFormat="1" ht="15.95" hidden="1" customHeight="1">
      <c r="A1289" s="90" t="s">
        <v>620</v>
      </c>
      <c r="B1289" s="90" t="s">
        <v>620</v>
      </c>
      <c r="C1289" s="91" t="s">
        <v>621</v>
      </c>
      <c r="D1289" s="82"/>
      <c r="E1289" s="82"/>
      <c r="F1289" s="82"/>
      <c r="G1289" s="82">
        <f>SUM(G1290:G1292)</f>
        <v>0</v>
      </c>
      <c r="H1289" s="97"/>
    </row>
    <row r="1290" spans="1:8" s="69" customFormat="1" ht="15.95" hidden="1" customHeight="1">
      <c r="A1290" s="93"/>
      <c r="B1290" s="93"/>
      <c r="C1290" s="94"/>
      <c r="D1290" s="95"/>
      <c r="E1290" s="95"/>
      <c r="F1290" s="95"/>
      <c r="G1290" s="95">
        <f>ROUND(E1290*F1290,2)</f>
        <v>0</v>
      </c>
      <c r="H1290" s="96">
        <v>0</v>
      </c>
    </row>
    <row r="1291" spans="1:8" s="69" customFormat="1" ht="15.95" hidden="1" customHeight="1">
      <c r="A1291" s="93"/>
      <c r="B1291" s="93"/>
      <c r="C1291" s="94"/>
      <c r="D1291" s="95"/>
      <c r="E1291" s="95"/>
      <c r="F1291" s="95"/>
      <c r="G1291" s="95">
        <f>ROUND(E1291*F1291,2)</f>
        <v>0</v>
      </c>
      <c r="H1291" s="96">
        <v>0</v>
      </c>
    </row>
    <row r="1292" spans="1:8" s="69" customFormat="1" ht="15.95" hidden="1" customHeight="1">
      <c r="A1292" s="93"/>
      <c r="B1292" s="93"/>
      <c r="C1292" s="94"/>
      <c r="D1292" s="95"/>
      <c r="E1292" s="95"/>
      <c r="F1292" s="95"/>
      <c r="G1292" s="95">
        <f>ROUND(E1292*F1292,2)</f>
        <v>0</v>
      </c>
      <c r="H1292" s="96">
        <v>0</v>
      </c>
    </row>
    <row r="1293" spans="1:8" s="69" customFormat="1" ht="15.95" hidden="1" customHeight="1">
      <c r="A1293" s="90" t="s">
        <v>622</v>
      </c>
      <c r="B1293" s="90" t="s">
        <v>622</v>
      </c>
      <c r="C1293" s="91" t="s">
        <v>623</v>
      </c>
      <c r="D1293" s="82"/>
      <c r="E1293" s="82"/>
      <c r="F1293" s="82"/>
      <c r="G1293" s="82">
        <f>SUM(G1294:G1296)</f>
        <v>0</v>
      </c>
      <c r="H1293" s="97"/>
    </row>
    <row r="1294" spans="1:8" s="69" customFormat="1" ht="15.95" hidden="1" customHeight="1">
      <c r="A1294" s="93"/>
      <c r="B1294" s="93"/>
      <c r="C1294" s="94"/>
      <c r="D1294" s="95"/>
      <c r="E1294" s="95"/>
      <c r="F1294" s="95"/>
      <c r="G1294" s="95">
        <f>ROUND(E1294*F1294,2)</f>
        <v>0</v>
      </c>
      <c r="H1294" s="96">
        <v>0</v>
      </c>
    </row>
    <row r="1295" spans="1:8" s="69" customFormat="1" ht="15.95" hidden="1" customHeight="1">
      <c r="A1295" s="93"/>
      <c r="B1295" s="93"/>
      <c r="C1295" s="94"/>
      <c r="D1295" s="95"/>
      <c r="E1295" s="95"/>
      <c r="F1295" s="95"/>
      <c r="G1295" s="95">
        <f>ROUND(E1295*F1295,2)</f>
        <v>0</v>
      </c>
      <c r="H1295" s="96">
        <v>0</v>
      </c>
    </row>
    <row r="1296" spans="1:8" s="69" customFormat="1" ht="15.95" hidden="1" customHeight="1">
      <c r="A1296" s="93"/>
      <c r="B1296" s="93"/>
      <c r="C1296" s="94"/>
      <c r="D1296" s="95"/>
      <c r="E1296" s="95"/>
      <c r="F1296" s="95"/>
      <c r="G1296" s="95">
        <f>ROUND(E1296*F1296,2)</f>
        <v>0</v>
      </c>
      <c r="H1296" s="96">
        <v>0</v>
      </c>
    </row>
    <row r="1297" spans="1:8" s="69" customFormat="1" ht="15.95" hidden="1" customHeight="1">
      <c r="A1297" s="90" t="s">
        <v>624</v>
      </c>
      <c r="B1297" s="90" t="s">
        <v>624</v>
      </c>
      <c r="C1297" s="91" t="s">
        <v>625</v>
      </c>
      <c r="D1297" s="82"/>
      <c r="E1297" s="82"/>
      <c r="F1297" s="82"/>
      <c r="G1297" s="82">
        <f>SUM(G1298:G1300)</f>
        <v>0</v>
      </c>
      <c r="H1297" s="97"/>
    </row>
    <row r="1298" spans="1:8" s="69" customFormat="1" ht="15.95" hidden="1" customHeight="1">
      <c r="A1298" s="93"/>
      <c r="B1298" s="93"/>
      <c r="C1298" s="94"/>
      <c r="D1298" s="95"/>
      <c r="E1298" s="95"/>
      <c r="F1298" s="95"/>
      <c r="G1298" s="95">
        <f>ROUND(E1298*F1298,2)</f>
        <v>0</v>
      </c>
      <c r="H1298" s="96">
        <v>0</v>
      </c>
    </row>
    <row r="1299" spans="1:8" s="69" customFormat="1" ht="15.95" hidden="1" customHeight="1">
      <c r="A1299" s="93"/>
      <c r="B1299" s="93"/>
      <c r="C1299" s="94"/>
      <c r="D1299" s="95"/>
      <c r="E1299" s="95"/>
      <c r="F1299" s="95"/>
      <c r="G1299" s="95">
        <f>ROUND(E1299*F1299,2)</f>
        <v>0</v>
      </c>
      <c r="H1299" s="96">
        <v>0</v>
      </c>
    </row>
    <row r="1300" spans="1:8" s="69" customFormat="1" ht="15.95" hidden="1" customHeight="1">
      <c r="A1300" s="93"/>
      <c r="B1300" s="93"/>
      <c r="C1300" s="94"/>
      <c r="D1300" s="95"/>
      <c r="E1300" s="95"/>
      <c r="F1300" s="95"/>
      <c r="G1300" s="95">
        <f>ROUND(E1300*F1300,2)</f>
        <v>0</v>
      </c>
      <c r="H1300" s="96">
        <v>0</v>
      </c>
    </row>
    <row r="1301" spans="1:8" s="69" customFormat="1" ht="15.95" hidden="1" customHeight="1">
      <c r="A1301" s="90" t="s">
        <v>626</v>
      </c>
      <c r="B1301" s="90" t="s">
        <v>626</v>
      </c>
      <c r="C1301" s="91" t="s">
        <v>627</v>
      </c>
      <c r="D1301" s="82"/>
      <c r="E1301" s="82"/>
      <c r="F1301" s="82"/>
      <c r="G1301" s="82">
        <f>SUM(G1302:G1304)</f>
        <v>0</v>
      </c>
      <c r="H1301" s="97"/>
    </row>
    <row r="1302" spans="1:8" s="69" customFormat="1" ht="15.95" hidden="1" customHeight="1">
      <c r="A1302" s="93"/>
      <c r="B1302" s="93"/>
      <c r="C1302" s="94"/>
      <c r="D1302" s="95"/>
      <c r="E1302" s="95"/>
      <c r="F1302" s="95"/>
      <c r="G1302" s="95">
        <f>ROUND(E1302*F1302,2)</f>
        <v>0</v>
      </c>
      <c r="H1302" s="96">
        <v>0</v>
      </c>
    </row>
    <row r="1303" spans="1:8" s="69" customFormat="1" ht="15.95" hidden="1" customHeight="1">
      <c r="A1303" s="93"/>
      <c r="B1303" s="93"/>
      <c r="C1303" s="94"/>
      <c r="D1303" s="95"/>
      <c r="E1303" s="95"/>
      <c r="F1303" s="95"/>
      <c r="G1303" s="95">
        <f>ROUND(E1303*F1303,2)</f>
        <v>0</v>
      </c>
      <c r="H1303" s="96">
        <v>0</v>
      </c>
    </row>
    <row r="1304" spans="1:8" s="69" customFormat="1" ht="15.95" hidden="1" customHeight="1">
      <c r="A1304" s="93"/>
      <c r="B1304" s="93"/>
      <c r="C1304" s="94"/>
      <c r="D1304" s="95"/>
      <c r="E1304" s="95"/>
      <c r="F1304" s="95"/>
      <c r="G1304" s="95">
        <f>ROUND(E1304*F1304,2)</f>
        <v>0</v>
      </c>
      <c r="H1304" s="96">
        <v>0</v>
      </c>
    </row>
    <row r="1305" spans="1:8" s="69" customFormat="1" ht="15.95" hidden="1" customHeight="1">
      <c r="A1305" s="90" t="s">
        <v>628</v>
      </c>
      <c r="B1305" s="90" t="s">
        <v>628</v>
      </c>
      <c r="C1305" s="91" t="s">
        <v>629</v>
      </c>
      <c r="D1305" s="82"/>
      <c r="E1305" s="82"/>
      <c r="F1305" s="82"/>
      <c r="G1305" s="82">
        <f>SUM(G1306:G1308)</f>
        <v>0</v>
      </c>
      <c r="H1305" s="97"/>
    </row>
    <row r="1306" spans="1:8" s="69" customFormat="1" ht="15.95" hidden="1" customHeight="1">
      <c r="A1306" s="93"/>
      <c r="B1306" s="93"/>
      <c r="C1306" s="94"/>
      <c r="D1306" s="95"/>
      <c r="E1306" s="95"/>
      <c r="F1306" s="95"/>
      <c r="G1306" s="95">
        <f>ROUND(E1306*F1306,2)</f>
        <v>0</v>
      </c>
      <c r="H1306" s="96">
        <v>0</v>
      </c>
    </row>
    <row r="1307" spans="1:8" s="69" customFormat="1" ht="15.95" hidden="1" customHeight="1">
      <c r="A1307" s="93"/>
      <c r="B1307" s="93"/>
      <c r="C1307" s="94"/>
      <c r="D1307" s="95"/>
      <c r="E1307" s="95"/>
      <c r="F1307" s="95"/>
      <c r="G1307" s="95">
        <f>ROUND(E1307*F1307,2)</f>
        <v>0</v>
      </c>
      <c r="H1307" s="96">
        <v>0</v>
      </c>
    </row>
    <row r="1308" spans="1:8" s="69" customFormat="1" ht="15.95" hidden="1" customHeight="1">
      <c r="A1308" s="93"/>
      <c r="B1308" s="93"/>
      <c r="C1308" s="94"/>
      <c r="D1308" s="95"/>
      <c r="E1308" s="95"/>
      <c r="F1308" s="95"/>
      <c r="G1308" s="95">
        <f>ROUND(E1308*F1308,2)</f>
        <v>0</v>
      </c>
      <c r="H1308" s="96">
        <v>0</v>
      </c>
    </row>
    <row r="1309" spans="1:8" s="70" customFormat="1" ht="15.95" hidden="1" customHeight="1">
      <c r="A1309" s="83"/>
      <c r="B1309" s="83"/>
      <c r="C1309" s="84" t="s">
        <v>630</v>
      </c>
      <c r="D1309" s="85"/>
      <c r="E1309" s="85"/>
      <c r="F1309" s="85"/>
      <c r="G1309" s="85"/>
      <c r="H1309" s="96"/>
    </row>
    <row r="1310" spans="1:8" s="70" customFormat="1" ht="15.95" hidden="1" customHeight="1">
      <c r="A1310" s="106" t="s">
        <v>631</v>
      </c>
      <c r="B1310" s="106" t="s">
        <v>631</v>
      </c>
      <c r="C1310" s="88" t="s">
        <v>632</v>
      </c>
      <c r="D1310" s="89"/>
      <c r="E1310" s="89"/>
      <c r="F1310" s="89"/>
      <c r="G1310" s="89">
        <f>SG_16_01+SG_16_02+SG_16_03+SG_16_04+SG_16_05+SG_16_06+SG_16_07+SG_16_08+SG_16_09+SG_16_10+SG_16_11+SG_16_12+SG_16_13+SG_16_14+SG_16_15+SG_16_16+SG_16_17+SG_16_18+SG_16_19+SG_16_20</f>
        <v>0</v>
      </c>
      <c r="H1310" s="96"/>
    </row>
    <row r="1311" spans="1:8" s="70" customFormat="1" ht="15.95" hidden="1" customHeight="1">
      <c r="A1311" s="90" t="s">
        <v>633</v>
      </c>
      <c r="B1311" s="90" t="s">
        <v>633</v>
      </c>
      <c r="C1311" s="91" t="s">
        <v>634</v>
      </c>
      <c r="D1311" s="82"/>
      <c r="E1311" s="82"/>
      <c r="F1311" s="82"/>
      <c r="G1311" s="82">
        <f>SUM(G1312:G1314)</f>
        <v>0</v>
      </c>
      <c r="H1311" s="96"/>
    </row>
    <row r="1312" spans="1:8" s="70" customFormat="1" ht="15.95" hidden="1" customHeight="1">
      <c r="A1312" s="93"/>
      <c r="B1312" s="93"/>
      <c r="C1312" s="94"/>
      <c r="D1312" s="95"/>
      <c r="E1312" s="95"/>
      <c r="F1312" s="95"/>
      <c r="G1312" s="95">
        <f>ROUND(E1312*F1312,2)</f>
        <v>0</v>
      </c>
      <c r="H1312" s="96">
        <v>0</v>
      </c>
    </row>
    <row r="1313" spans="1:8" s="70" customFormat="1" ht="15.95" hidden="1" customHeight="1">
      <c r="A1313" s="93"/>
      <c r="B1313" s="93"/>
      <c r="C1313" s="94"/>
      <c r="D1313" s="95"/>
      <c r="E1313" s="95"/>
      <c r="F1313" s="95"/>
      <c r="G1313" s="95">
        <f>ROUND(E1313*F1313,2)</f>
        <v>0</v>
      </c>
      <c r="H1313" s="96">
        <v>0</v>
      </c>
    </row>
    <row r="1314" spans="1:8" s="70" customFormat="1" ht="15.95" hidden="1" customHeight="1">
      <c r="A1314" s="93"/>
      <c r="B1314" s="93"/>
      <c r="C1314" s="94"/>
      <c r="D1314" s="95"/>
      <c r="E1314" s="95"/>
      <c r="F1314" s="95"/>
      <c r="G1314" s="95">
        <f>ROUND(E1314*F1314,2)</f>
        <v>0</v>
      </c>
      <c r="H1314" s="96">
        <v>0</v>
      </c>
    </row>
    <row r="1315" spans="1:8" s="70" customFormat="1" ht="15.95" hidden="1" customHeight="1">
      <c r="A1315" s="90" t="s">
        <v>635</v>
      </c>
      <c r="B1315" s="90" t="s">
        <v>635</v>
      </c>
      <c r="C1315" s="91" t="s">
        <v>636</v>
      </c>
      <c r="D1315" s="82"/>
      <c r="E1315" s="82"/>
      <c r="F1315" s="82"/>
      <c r="G1315" s="82">
        <f>SUM(G1316:G1318)</f>
        <v>0</v>
      </c>
      <c r="H1315" s="97"/>
    </row>
    <row r="1316" spans="1:8" s="70" customFormat="1" ht="15.95" hidden="1" customHeight="1">
      <c r="A1316" s="93"/>
      <c r="B1316" s="93"/>
      <c r="C1316" s="94"/>
      <c r="D1316" s="95"/>
      <c r="E1316" s="95"/>
      <c r="F1316" s="95"/>
      <c r="G1316" s="95">
        <f>ROUND(E1316*F1316,2)</f>
        <v>0</v>
      </c>
      <c r="H1316" s="96">
        <v>0</v>
      </c>
    </row>
    <row r="1317" spans="1:8" s="70" customFormat="1" ht="15.95" hidden="1" customHeight="1">
      <c r="A1317" s="93"/>
      <c r="B1317" s="93"/>
      <c r="C1317" s="94"/>
      <c r="D1317" s="95"/>
      <c r="E1317" s="95"/>
      <c r="F1317" s="95"/>
      <c r="G1317" s="95">
        <f>ROUND(E1317*F1317,2)</f>
        <v>0</v>
      </c>
      <c r="H1317" s="96">
        <v>0</v>
      </c>
    </row>
    <row r="1318" spans="1:8" s="70" customFormat="1" ht="15.95" hidden="1" customHeight="1">
      <c r="A1318" s="93"/>
      <c r="B1318" s="93"/>
      <c r="C1318" s="94"/>
      <c r="D1318" s="95"/>
      <c r="E1318" s="95"/>
      <c r="F1318" s="95"/>
      <c r="G1318" s="95">
        <f>ROUND(E1318*F1318,2)</f>
        <v>0</v>
      </c>
      <c r="H1318" s="96">
        <v>0</v>
      </c>
    </row>
    <row r="1319" spans="1:8" s="70" customFormat="1" ht="15.95" hidden="1" customHeight="1">
      <c r="A1319" s="90" t="s">
        <v>637</v>
      </c>
      <c r="B1319" s="90" t="s">
        <v>637</v>
      </c>
      <c r="C1319" s="91" t="s">
        <v>638</v>
      </c>
      <c r="D1319" s="82"/>
      <c r="E1319" s="82"/>
      <c r="F1319" s="82"/>
      <c r="G1319" s="82">
        <f>SUM(G1320:G1322)</f>
        <v>0</v>
      </c>
      <c r="H1319" s="97"/>
    </row>
    <row r="1320" spans="1:8" s="70" customFormat="1" ht="15.95" hidden="1" customHeight="1">
      <c r="A1320" s="93"/>
      <c r="B1320" s="93"/>
      <c r="C1320" s="94"/>
      <c r="D1320" s="95"/>
      <c r="E1320" s="95"/>
      <c r="F1320" s="95"/>
      <c r="G1320" s="95">
        <f>ROUND(E1320*F1320,2)</f>
        <v>0</v>
      </c>
      <c r="H1320" s="96">
        <v>0</v>
      </c>
    </row>
    <row r="1321" spans="1:8" s="70" customFormat="1" ht="15.95" hidden="1" customHeight="1">
      <c r="A1321" s="93"/>
      <c r="B1321" s="93"/>
      <c r="C1321" s="94"/>
      <c r="D1321" s="95"/>
      <c r="E1321" s="95"/>
      <c r="F1321" s="95"/>
      <c r="G1321" s="95">
        <f>ROUND(E1321*F1321,2)</f>
        <v>0</v>
      </c>
      <c r="H1321" s="96">
        <v>0</v>
      </c>
    </row>
    <row r="1322" spans="1:8" s="70" customFormat="1" ht="15.95" hidden="1" customHeight="1">
      <c r="A1322" s="93"/>
      <c r="B1322" s="93"/>
      <c r="C1322" s="94"/>
      <c r="D1322" s="95"/>
      <c r="E1322" s="95"/>
      <c r="F1322" s="95"/>
      <c r="G1322" s="95">
        <f>ROUND(E1322*F1322,2)</f>
        <v>0</v>
      </c>
      <c r="H1322" s="96">
        <v>0</v>
      </c>
    </row>
    <row r="1323" spans="1:8" s="70" customFormat="1" ht="15.95" hidden="1" customHeight="1">
      <c r="A1323" s="90" t="s">
        <v>639</v>
      </c>
      <c r="B1323" s="90" t="s">
        <v>639</v>
      </c>
      <c r="C1323" s="91" t="s">
        <v>640</v>
      </c>
      <c r="D1323" s="82"/>
      <c r="E1323" s="82"/>
      <c r="F1323" s="82"/>
      <c r="G1323" s="82">
        <f>SUM(G1324:G1326)</f>
        <v>0</v>
      </c>
      <c r="H1323" s="97"/>
    </row>
    <row r="1324" spans="1:8" s="70" customFormat="1" ht="15.95" hidden="1" customHeight="1">
      <c r="A1324" s="93"/>
      <c r="B1324" s="93"/>
      <c r="C1324" s="94"/>
      <c r="D1324" s="95"/>
      <c r="E1324" s="95"/>
      <c r="F1324" s="95"/>
      <c r="G1324" s="95">
        <f>ROUND(E1324*F1324,2)</f>
        <v>0</v>
      </c>
      <c r="H1324" s="96">
        <v>0</v>
      </c>
    </row>
    <row r="1325" spans="1:8" s="70" customFormat="1" ht="15.95" hidden="1" customHeight="1">
      <c r="A1325" s="93"/>
      <c r="B1325" s="93"/>
      <c r="C1325" s="94"/>
      <c r="D1325" s="95"/>
      <c r="E1325" s="95"/>
      <c r="F1325" s="95"/>
      <c r="G1325" s="95">
        <f>ROUND(E1325*F1325,2)</f>
        <v>0</v>
      </c>
      <c r="H1325" s="96">
        <v>0</v>
      </c>
    </row>
    <row r="1326" spans="1:8" s="70" customFormat="1" ht="15.95" hidden="1" customHeight="1">
      <c r="A1326" s="93"/>
      <c r="B1326" s="93"/>
      <c r="C1326" s="94"/>
      <c r="D1326" s="95"/>
      <c r="E1326" s="95"/>
      <c r="F1326" s="95"/>
      <c r="G1326" s="95">
        <f>ROUND(E1326*F1326,2)</f>
        <v>0</v>
      </c>
      <c r="H1326" s="96">
        <v>0</v>
      </c>
    </row>
    <row r="1327" spans="1:8" s="70" customFormat="1" ht="15.95" hidden="1" customHeight="1">
      <c r="A1327" s="90" t="s">
        <v>641</v>
      </c>
      <c r="B1327" s="90" t="s">
        <v>641</v>
      </c>
      <c r="C1327" s="91" t="s">
        <v>642</v>
      </c>
      <c r="D1327" s="82"/>
      <c r="E1327" s="82"/>
      <c r="F1327" s="82"/>
      <c r="G1327" s="82">
        <f>SUM(G1328:G1330)</f>
        <v>0</v>
      </c>
      <c r="H1327" s="97"/>
    </row>
    <row r="1328" spans="1:8" s="70" customFormat="1" ht="15.95" hidden="1" customHeight="1">
      <c r="A1328" s="93"/>
      <c r="B1328" s="93"/>
      <c r="C1328" s="94"/>
      <c r="D1328" s="95"/>
      <c r="E1328" s="95"/>
      <c r="F1328" s="95"/>
      <c r="G1328" s="95">
        <f>ROUND(E1328*F1328,2)</f>
        <v>0</v>
      </c>
      <c r="H1328" s="96">
        <v>0</v>
      </c>
    </row>
    <row r="1329" spans="1:8" s="70" customFormat="1" ht="15.95" hidden="1" customHeight="1">
      <c r="A1329" s="93"/>
      <c r="B1329" s="93"/>
      <c r="C1329" s="94"/>
      <c r="D1329" s="95"/>
      <c r="E1329" s="95"/>
      <c r="F1329" s="95"/>
      <c r="G1329" s="95">
        <f>ROUND(E1329*F1329,2)</f>
        <v>0</v>
      </c>
      <c r="H1329" s="96">
        <v>0</v>
      </c>
    </row>
    <row r="1330" spans="1:8" s="70" customFormat="1" ht="15.95" hidden="1" customHeight="1">
      <c r="A1330" s="93"/>
      <c r="B1330" s="93"/>
      <c r="C1330" s="94"/>
      <c r="D1330" s="95"/>
      <c r="E1330" s="95"/>
      <c r="F1330" s="95"/>
      <c r="G1330" s="95">
        <f>ROUND(E1330*F1330,2)</f>
        <v>0</v>
      </c>
      <c r="H1330" s="96">
        <v>0</v>
      </c>
    </row>
    <row r="1331" spans="1:8" s="70" customFormat="1" ht="15.95" hidden="1" customHeight="1">
      <c r="A1331" s="90" t="s">
        <v>643</v>
      </c>
      <c r="B1331" s="90" t="s">
        <v>643</v>
      </c>
      <c r="C1331" s="91" t="s">
        <v>644</v>
      </c>
      <c r="D1331" s="82"/>
      <c r="E1331" s="82"/>
      <c r="F1331" s="82"/>
      <c r="G1331" s="82">
        <f>SUM(G1332:G1334)</f>
        <v>0</v>
      </c>
      <c r="H1331" s="97"/>
    </row>
    <row r="1332" spans="1:8" s="70" customFormat="1" ht="15.95" hidden="1" customHeight="1">
      <c r="A1332" s="93"/>
      <c r="B1332" s="93"/>
      <c r="C1332" s="94"/>
      <c r="D1332" s="95"/>
      <c r="E1332" s="95"/>
      <c r="F1332" s="95"/>
      <c r="G1332" s="95">
        <f>ROUND(E1332*F1332,2)</f>
        <v>0</v>
      </c>
      <c r="H1332" s="96">
        <v>0</v>
      </c>
    </row>
    <row r="1333" spans="1:8" s="70" customFormat="1" ht="15.95" hidden="1" customHeight="1">
      <c r="A1333" s="93"/>
      <c r="B1333" s="93"/>
      <c r="C1333" s="94"/>
      <c r="D1333" s="95"/>
      <c r="E1333" s="95"/>
      <c r="F1333" s="95"/>
      <c r="G1333" s="95">
        <f>ROUND(E1333*F1333,2)</f>
        <v>0</v>
      </c>
      <c r="H1333" s="96">
        <v>0</v>
      </c>
    </row>
    <row r="1334" spans="1:8" s="70" customFormat="1" ht="15.95" hidden="1" customHeight="1">
      <c r="A1334" s="93"/>
      <c r="B1334" s="93"/>
      <c r="C1334" s="94"/>
      <c r="D1334" s="95"/>
      <c r="E1334" s="95"/>
      <c r="F1334" s="95"/>
      <c r="G1334" s="95">
        <f>ROUND(E1334*F1334,2)</f>
        <v>0</v>
      </c>
      <c r="H1334" s="96">
        <v>0</v>
      </c>
    </row>
    <row r="1335" spans="1:8" s="70" customFormat="1" ht="15.95" hidden="1" customHeight="1">
      <c r="A1335" s="90" t="s">
        <v>645</v>
      </c>
      <c r="B1335" s="90" t="s">
        <v>645</v>
      </c>
      <c r="C1335" s="91" t="s">
        <v>646</v>
      </c>
      <c r="D1335" s="82"/>
      <c r="E1335" s="82"/>
      <c r="F1335" s="82"/>
      <c r="G1335" s="82">
        <f>SUM(G1336:G1338)</f>
        <v>0</v>
      </c>
      <c r="H1335" s="97"/>
    </row>
    <row r="1336" spans="1:8" s="70" customFormat="1" ht="15.95" hidden="1" customHeight="1">
      <c r="A1336" s="93"/>
      <c r="B1336" s="93"/>
      <c r="C1336" s="94"/>
      <c r="D1336" s="95"/>
      <c r="E1336" s="95"/>
      <c r="F1336" s="95"/>
      <c r="G1336" s="95">
        <f>ROUND(E1336*F1336,2)</f>
        <v>0</v>
      </c>
      <c r="H1336" s="96">
        <v>0</v>
      </c>
    </row>
    <row r="1337" spans="1:8" s="70" customFormat="1" ht="15.95" hidden="1" customHeight="1">
      <c r="A1337" s="93"/>
      <c r="B1337" s="93"/>
      <c r="C1337" s="94"/>
      <c r="D1337" s="95"/>
      <c r="E1337" s="95"/>
      <c r="F1337" s="95"/>
      <c r="G1337" s="95">
        <f>ROUND(E1337*F1337,2)</f>
        <v>0</v>
      </c>
      <c r="H1337" s="96">
        <v>0</v>
      </c>
    </row>
    <row r="1338" spans="1:8" s="70" customFormat="1" ht="15.95" hidden="1" customHeight="1">
      <c r="A1338" s="93"/>
      <c r="B1338" s="93"/>
      <c r="C1338" s="94"/>
      <c r="D1338" s="95"/>
      <c r="E1338" s="95"/>
      <c r="F1338" s="95"/>
      <c r="G1338" s="95">
        <f>ROUND(E1338*F1338,2)</f>
        <v>0</v>
      </c>
      <c r="H1338" s="96">
        <v>0</v>
      </c>
    </row>
    <row r="1339" spans="1:8" s="70" customFormat="1" ht="15.95" hidden="1" customHeight="1">
      <c r="A1339" s="90" t="s">
        <v>647</v>
      </c>
      <c r="B1339" s="90" t="s">
        <v>647</v>
      </c>
      <c r="C1339" s="91" t="s">
        <v>648</v>
      </c>
      <c r="D1339" s="82"/>
      <c r="E1339" s="82"/>
      <c r="F1339" s="82"/>
      <c r="G1339" s="82">
        <f>SUM(G1340:G1342)</f>
        <v>0</v>
      </c>
      <c r="H1339" s="97"/>
    </row>
    <row r="1340" spans="1:8" s="70" customFormat="1" ht="15.95" hidden="1" customHeight="1">
      <c r="A1340" s="93"/>
      <c r="B1340" s="93"/>
      <c r="C1340" s="94"/>
      <c r="D1340" s="95"/>
      <c r="E1340" s="95"/>
      <c r="F1340" s="95"/>
      <c r="G1340" s="95">
        <f>ROUND(E1340*F1340,2)</f>
        <v>0</v>
      </c>
      <c r="H1340" s="96">
        <v>0</v>
      </c>
    </row>
    <row r="1341" spans="1:8" s="70" customFormat="1" ht="15.95" hidden="1" customHeight="1">
      <c r="A1341" s="93"/>
      <c r="B1341" s="93"/>
      <c r="C1341" s="94"/>
      <c r="D1341" s="95"/>
      <c r="E1341" s="95"/>
      <c r="F1341" s="95"/>
      <c r="G1341" s="95">
        <f>ROUND(E1341*F1341,2)</f>
        <v>0</v>
      </c>
      <c r="H1341" s="96">
        <v>0</v>
      </c>
    </row>
    <row r="1342" spans="1:8" s="70" customFormat="1" ht="15.95" hidden="1" customHeight="1">
      <c r="A1342" s="93"/>
      <c r="B1342" s="93"/>
      <c r="C1342" s="94"/>
      <c r="D1342" s="95"/>
      <c r="E1342" s="95"/>
      <c r="F1342" s="95"/>
      <c r="G1342" s="95">
        <f>ROUND(E1342*F1342,2)</f>
        <v>0</v>
      </c>
      <c r="H1342" s="96">
        <v>0</v>
      </c>
    </row>
    <row r="1343" spans="1:8" s="70" customFormat="1" ht="15.95" hidden="1" customHeight="1">
      <c r="A1343" s="90" t="s">
        <v>649</v>
      </c>
      <c r="B1343" s="90" t="s">
        <v>649</v>
      </c>
      <c r="C1343" s="91" t="s">
        <v>650</v>
      </c>
      <c r="D1343" s="82"/>
      <c r="E1343" s="82"/>
      <c r="F1343" s="82"/>
      <c r="G1343" s="82">
        <f>SUM(G1344:G1346)</f>
        <v>0</v>
      </c>
      <c r="H1343" s="97"/>
    </row>
    <row r="1344" spans="1:8" s="70" customFormat="1" ht="15.95" hidden="1" customHeight="1">
      <c r="A1344" s="93"/>
      <c r="B1344" s="93"/>
      <c r="C1344" s="94"/>
      <c r="D1344" s="95"/>
      <c r="E1344" s="95"/>
      <c r="F1344" s="95"/>
      <c r="G1344" s="95">
        <f>ROUND(E1344*F1344,2)</f>
        <v>0</v>
      </c>
      <c r="H1344" s="96">
        <v>0</v>
      </c>
    </row>
    <row r="1345" spans="1:8" s="70" customFormat="1" ht="15.95" hidden="1" customHeight="1">
      <c r="A1345" s="93"/>
      <c r="B1345" s="93"/>
      <c r="C1345" s="94"/>
      <c r="D1345" s="95"/>
      <c r="E1345" s="95"/>
      <c r="F1345" s="95"/>
      <c r="G1345" s="95">
        <f>ROUND(E1345*F1345,2)</f>
        <v>0</v>
      </c>
      <c r="H1345" s="96">
        <v>0</v>
      </c>
    </row>
    <row r="1346" spans="1:8" s="70" customFormat="1" ht="15.95" hidden="1" customHeight="1">
      <c r="A1346" s="93"/>
      <c r="B1346" s="93"/>
      <c r="C1346" s="94"/>
      <c r="D1346" s="95"/>
      <c r="E1346" s="95"/>
      <c r="F1346" s="95"/>
      <c r="G1346" s="95">
        <f>ROUND(E1346*F1346,2)</f>
        <v>0</v>
      </c>
      <c r="H1346" s="96">
        <v>0</v>
      </c>
    </row>
    <row r="1347" spans="1:8" s="70" customFormat="1" ht="15.95" hidden="1" customHeight="1">
      <c r="A1347" s="90" t="s">
        <v>651</v>
      </c>
      <c r="B1347" s="90" t="s">
        <v>651</v>
      </c>
      <c r="C1347" s="91" t="s">
        <v>652</v>
      </c>
      <c r="D1347" s="82"/>
      <c r="E1347" s="82"/>
      <c r="F1347" s="82"/>
      <c r="G1347" s="82">
        <f>SUM(G1348:G1350)</f>
        <v>0</v>
      </c>
      <c r="H1347" s="97"/>
    </row>
    <row r="1348" spans="1:8" s="70" customFormat="1" ht="15.95" hidden="1" customHeight="1">
      <c r="A1348" s="93"/>
      <c r="B1348" s="93"/>
      <c r="C1348" s="94"/>
      <c r="D1348" s="95"/>
      <c r="E1348" s="95"/>
      <c r="F1348" s="95"/>
      <c r="G1348" s="95">
        <f>ROUND(E1348*F1348,2)</f>
        <v>0</v>
      </c>
      <c r="H1348" s="96">
        <v>0</v>
      </c>
    </row>
    <row r="1349" spans="1:8" s="70" customFormat="1" ht="15.95" hidden="1" customHeight="1">
      <c r="A1349" s="93"/>
      <c r="B1349" s="93"/>
      <c r="C1349" s="94"/>
      <c r="D1349" s="95"/>
      <c r="E1349" s="95"/>
      <c r="F1349" s="95"/>
      <c r="G1349" s="95">
        <f>ROUND(E1349*F1349,2)</f>
        <v>0</v>
      </c>
      <c r="H1349" s="96">
        <v>0</v>
      </c>
    </row>
    <row r="1350" spans="1:8" s="70" customFormat="1" ht="15.95" hidden="1" customHeight="1">
      <c r="A1350" s="93"/>
      <c r="B1350" s="93"/>
      <c r="C1350" s="94"/>
      <c r="D1350" s="95"/>
      <c r="E1350" s="95"/>
      <c r="F1350" s="95"/>
      <c r="G1350" s="95">
        <f>ROUND(E1350*F1350,2)</f>
        <v>0</v>
      </c>
      <c r="H1350" s="96">
        <v>0</v>
      </c>
    </row>
    <row r="1351" spans="1:8" s="70" customFormat="1" ht="15.95" hidden="1" customHeight="1">
      <c r="A1351" s="90" t="s">
        <v>653</v>
      </c>
      <c r="B1351" s="90" t="s">
        <v>653</v>
      </c>
      <c r="C1351" s="91" t="s">
        <v>654</v>
      </c>
      <c r="D1351" s="82"/>
      <c r="E1351" s="82"/>
      <c r="F1351" s="82"/>
      <c r="G1351" s="82">
        <f>SUM(G1352:G1354)</f>
        <v>0</v>
      </c>
      <c r="H1351" s="97"/>
    </row>
    <row r="1352" spans="1:8" s="70" customFormat="1" ht="15.95" hidden="1" customHeight="1">
      <c r="A1352" s="93"/>
      <c r="B1352" s="93"/>
      <c r="C1352" s="94"/>
      <c r="D1352" s="95"/>
      <c r="E1352" s="95"/>
      <c r="F1352" s="95"/>
      <c r="G1352" s="95">
        <f>ROUND(E1352*F1352,2)</f>
        <v>0</v>
      </c>
      <c r="H1352" s="96">
        <v>0</v>
      </c>
    </row>
    <row r="1353" spans="1:8" s="70" customFormat="1" ht="15.95" hidden="1" customHeight="1">
      <c r="A1353" s="93"/>
      <c r="B1353" s="93"/>
      <c r="C1353" s="94"/>
      <c r="D1353" s="95"/>
      <c r="E1353" s="95"/>
      <c r="F1353" s="95"/>
      <c r="G1353" s="95">
        <f>ROUND(E1353*F1353,2)</f>
        <v>0</v>
      </c>
      <c r="H1353" s="96">
        <v>0</v>
      </c>
    </row>
    <row r="1354" spans="1:8" s="70" customFormat="1" ht="15.95" hidden="1" customHeight="1">
      <c r="A1354" s="93"/>
      <c r="B1354" s="93"/>
      <c r="C1354" s="94"/>
      <c r="D1354" s="95"/>
      <c r="E1354" s="95"/>
      <c r="F1354" s="95"/>
      <c r="G1354" s="95">
        <f>ROUND(E1354*F1354,2)</f>
        <v>0</v>
      </c>
      <c r="H1354" s="96">
        <v>0</v>
      </c>
    </row>
    <row r="1355" spans="1:8" s="70" customFormat="1" ht="15.95" hidden="1" customHeight="1">
      <c r="A1355" s="90" t="s">
        <v>655</v>
      </c>
      <c r="B1355" s="90" t="s">
        <v>655</v>
      </c>
      <c r="C1355" s="91" t="s">
        <v>656</v>
      </c>
      <c r="D1355" s="82"/>
      <c r="E1355" s="82"/>
      <c r="F1355" s="82"/>
      <c r="G1355" s="82">
        <f>SUM(G1356:G1358)</f>
        <v>0</v>
      </c>
      <c r="H1355" s="97"/>
    </row>
    <row r="1356" spans="1:8" s="70" customFormat="1" ht="15.95" hidden="1" customHeight="1">
      <c r="A1356" s="93"/>
      <c r="B1356" s="93"/>
      <c r="C1356" s="94"/>
      <c r="D1356" s="95"/>
      <c r="E1356" s="95"/>
      <c r="F1356" s="95"/>
      <c r="G1356" s="95">
        <f>ROUND(E1356*F1356,2)</f>
        <v>0</v>
      </c>
      <c r="H1356" s="96">
        <v>0</v>
      </c>
    </row>
    <row r="1357" spans="1:8" s="70" customFormat="1" ht="15.95" hidden="1" customHeight="1">
      <c r="A1357" s="93"/>
      <c r="B1357" s="93"/>
      <c r="C1357" s="94"/>
      <c r="D1357" s="95"/>
      <c r="E1357" s="95"/>
      <c r="F1357" s="95"/>
      <c r="G1357" s="95">
        <f>ROUND(E1357*F1357,2)</f>
        <v>0</v>
      </c>
      <c r="H1357" s="96">
        <v>0</v>
      </c>
    </row>
    <row r="1358" spans="1:8" s="70" customFormat="1" ht="15.95" hidden="1" customHeight="1">
      <c r="A1358" s="93"/>
      <c r="B1358" s="93"/>
      <c r="C1358" s="94"/>
      <c r="D1358" s="95"/>
      <c r="E1358" s="95"/>
      <c r="F1358" s="95"/>
      <c r="G1358" s="95">
        <f>ROUND(E1358*F1358,2)</f>
        <v>0</v>
      </c>
      <c r="H1358" s="96">
        <v>0</v>
      </c>
    </row>
    <row r="1359" spans="1:8" s="70" customFormat="1" ht="15.95" hidden="1" customHeight="1">
      <c r="A1359" s="90" t="s">
        <v>657</v>
      </c>
      <c r="B1359" s="90" t="s">
        <v>657</v>
      </c>
      <c r="C1359" s="91" t="s">
        <v>658</v>
      </c>
      <c r="D1359" s="82"/>
      <c r="E1359" s="82"/>
      <c r="F1359" s="82"/>
      <c r="G1359" s="82">
        <f>SUM(G1360:G1362)</f>
        <v>0</v>
      </c>
      <c r="H1359" s="97"/>
    </row>
    <row r="1360" spans="1:8" s="70" customFormat="1" ht="15.95" hidden="1" customHeight="1">
      <c r="A1360" s="93"/>
      <c r="B1360" s="93"/>
      <c r="C1360" s="94"/>
      <c r="D1360" s="95"/>
      <c r="E1360" s="95"/>
      <c r="F1360" s="95"/>
      <c r="G1360" s="95">
        <f>ROUND(E1360*F1360,2)</f>
        <v>0</v>
      </c>
      <c r="H1360" s="96">
        <v>0</v>
      </c>
    </row>
    <row r="1361" spans="1:8" s="70" customFormat="1" ht="15.95" hidden="1" customHeight="1">
      <c r="A1361" s="93"/>
      <c r="B1361" s="93"/>
      <c r="C1361" s="94"/>
      <c r="D1361" s="95"/>
      <c r="E1361" s="95"/>
      <c r="F1361" s="95"/>
      <c r="G1361" s="95">
        <f>ROUND(E1361*F1361,2)</f>
        <v>0</v>
      </c>
      <c r="H1361" s="96">
        <v>0</v>
      </c>
    </row>
    <row r="1362" spans="1:8" s="70" customFormat="1" ht="15.95" hidden="1" customHeight="1">
      <c r="A1362" s="93"/>
      <c r="B1362" s="93"/>
      <c r="C1362" s="94"/>
      <c r="D1362" s="95"/>
      <c r="E1362" s="95"/>
      <c r="F1362" s="95"/>
      <c r="G1362" s="95">
        <f>ROUND(E1362*F1362,2)</f>
        <v>0</v>
      </c>
      <c r="H1362" s="96">
        <v>0</v>
      </c>
    </row>
    <row r="1363" spans="1:8" s="70" customFormat="1" ht="15.95" hidden="1" customHeight="1">
      <c r="A1363" s="90" t="s">
        <v>659</v>
      </c>
      <c r="B1363" s="90" t="s">
        <v>659</v>
      </c>
      <c r="C1363" s="91" t="s">
        <v>660</v>
      </c>
      <c r="D1363" s="82"/>
      <c r="E1363" s="82"/>
      <c r="F1363" s="82"/>
      <c r="G1363" s="82">
        <f>SUM(G1364:G1366)</f>
        <v>0</v>
      </c>
      <c r="H1363" s="97"/>
    </row>
    <row r="1364" spans="1:8" s="70" customFormat="1" ht="15.95" hidden="1" customHeight="1">
      <c r="A1364" s="93"/>
      <c r="B1364" s="93"/>
      <c r="C1364" s="94"/>
      <c r="D1364" s="95"/>
      <c r="E1364" s="95"/>
      <c r="F1364" s="95"/>
      <c r="G1364" s="95">
        <f>ROUND(E1364*F1364,2)</f>
        <v>0</v>
      </c>
      <c r="H1364" s="96">
        <v>0</v>
      </c>
    </row>
    <row r="1365" spans="1:8" s="70" customFormat="1" ht="15.95" hidden="1" customHeight="1">
      <c r="A1365" s="93"/>
      <c r="B1365" s="93"/>
      <c r="C1365" s="94"/>
      <c r="D1365" s="95"/>
      <c r="E1365" s="95"/>
      <c r="F1365" s="95"/>
      <c r="G1365" s="95">
        <f>ROUND(E1365*F1365,2)</f>
        <v>0</v>
      </c>
      <c r="H1365" s="96">
        <v>0</v>
      </c>
    </row>
    <row r="1366" spans="1:8" s="70" customFormat="1" ht="15.95" hidden="1" customHeight="1">
      <c r="A1366" s="93"/>
      <c r="B1366" s="93"/>
      <c r="C1366" s="94"/>
      <c r="D1366" s="95"/>
      <c r="E1366" s="95"/>
      <c r="F1366" s="95"/>
      <c r="G1366" s="95">
        <f>ROUND(E1366*F1366,2)</f>
        <v>0</v>
      </c>
      <c r="H1366" s="96">
        <v>0</v>
      </c>
    </row>
    <row r="1367" spans="1:8" s="70" customFormat="1" ht="15.95" hidden="1" customHeight="1">
      <c r="A1367" s="90" t="s">
        <v>661</v>
      </c>
      <c r="B1367" s="90" t="s">
        <v>661</v>
      </c>
      <c r="C1367" s="91" t="s">
        <v>662</v>
      </c>
      <c r="D1367" s="82"/>
      <c r="E1367" s="82"/>
      <c r="F1367" s="82"/>
      <c r="G1367" s="82">
        <f>SUM(G1368:G1370)</f>
        <v>0</v>
      </c>
      <c r="H1367" s="97"/>
    </row>
    <row r="1368" spans="1:8" s="70" customFormat="1" ht="15.95" hidden="1" customHeight="1">
      <c r="A1368" s="93"/>
      <c r="B1368" s="93"/>
      <c r="C1368" s="94"/>
      <c r="D1368" s="95"/>
      <c r="E1368" s="95"/>
      <c r="F1368" s="95"/>
      <c r="G1368" s="95">
        <f>ROUND(E1368*F1368,2)</f>
        <v>0</v>
      </c>
      <c r="H1368" s="96">
        <v>0</v>
      </c>
    </row>
    <row r="1369" spans="1:8" s="70" customFormat="1" ht="15.95" hidden="1" customHeight="1">
      <c r="A1369" s="93"/>
      <c r="B1369" s="93"/>
      <c r="C1369" s="94"/>
      <c r="D1369" s="95"/>
      <c r="E1369" s="95"/>
      <c r="F1369" s="95"/>
      <c r="G1369" s="95">
        <f>ROUND(E1369*F1369,2)</f>
        <v>0</v>
      </c>
      <c r="H1369" s="96">
        <v>0</v>
      </c>
    </row>
    <row r="1370" spans="1:8" s="69" customFormat="1" ht="15.95" hidden="1" customHeight="1">
      <c r="A1370" s="93"/>
      <c r="B1370" s="93"/>
      <c r="C1370" s="94"/>
      <c r="D1370" s="95"/>
      <c r="E1370" s="95"/>
      <c r="F1370" s="95"/>
      <c r="G1370" s="95">
        <f>ROUND(E1370*F1370,2)</f>
        <v>0</v>
      </c>
      <c r="H1370" s="96">
        <v>0</v>
      </c>
    </row>
    <row r="1371" spans="1:8" s="71" customFormat="1" ht="15.95" hidden="1" customHeight="1">
      <c r="A1371" s="90" t="s">
        <v>663</v>
      </c>
      <c r="B1371" s="90" t="s">
        <v>663</v>
      </c>
      <c r="C1371" s="91" t="s">
        <v>664</v>
      </c>
      <c r="D1371" s="82"/>
      <c r="E1371" s="82"/>
      <c r="F1371" s="82"/>
      <c r="G1371" s="82">
        <f>SUM(G1372:G1374)</f>
        <v>0</v>
      </c>
      <c r="H1371" s="96"/>
    </row>
    <row r="1372" spans="1:8" s="71" customFormat="1" ht="15.95" hidden="1" customHeight="1">
      <c r="A1372" s="93"/>
      <c r="B1372" s="93"/>
      <c r="C1372" s="94"/>
      <c r="D1372" s="95"/>
      <c r="E1372" s="95"/>
      <c r="F1372" s="95"/>
      <c r="G1372" s="95">
        <f>ROUND(E1372*F1372,2)</f>
        <v>0</v>
      </c>
      <c r="H1372" s="96">
        <v>0</v>
      </c>
    </row>
    <row r="1373" spans="1:8" s="71" customFormat="1" ht="15.95" hidden="1" customHeight="1">
      <c r="A1373" s="93"/>
      <c r="B1373" s="93"/>
      <c r="C1373" s="94"/>
      <c r="D1373" s="95"/>
      <c r="E1373" s="95"/>
      <c r="F1373" s="95"/>
      <c r="G1373" s="95">
        <f>ROUND(E1373*F1373,2)</f>
        <v>0</v>
      </c>
      <c r="H1373" s="96">
        <v>0</v>
      </c>
    </row>
    <row r="1374" spans="1:8" s="69" customFormat="1" ht="15.95" hidden="1" customHeight="1">
      <c r="A1374" s="93"/>
      <c r="B1374" s="93"/>
      <c r="C1374" s="94"/>
      <c r="D1374" s="95"/>
      <c r="E1374" s="95"/>
      <c r="F1374" s="95"/>
      <c r="G1374" s="95">
        <f>ROUND(E1374*F1374,2)</f>
        <v>0</v>
      </c>
      <c r="H1374" s="96">
        <v>0</v>
      </c>
    </row>
    <row r="1375" spans="1:8" s="71" customFormat="1" ht="15.95" hidden="1" customHeight="1">
      <c r="A1375" s="90" t="s">
        <v>665</v>
      </c>
      <c r="B1375" s="90" t="s">
        <v>665</v>
      </c>
      <c r="C1375" s="91" t="s">
        <v>666</v>
      </c>
      <c r="D1375" s="82"/>
      <c r="E1375" s="82"/>
      <c r="F1375" s="82"/>
      <c r="G1375" s="82">
        <f>SUM(G1376:G1378)</f>
        <v>0</v>
      </c>
      <c r="H1375" s="97"/>
    </row>
    <row r="1376" spans="1:8" s="71" customFormat="1" ht="15.95" hidden="1" customHeight="1">
      <c r="A1376" s="93"/>
      <c r="B1376" s="93"/>
      <c r="C1376" s="94"/>
      <c r="D1376" s="95"/>
      <c r="E1376" s="95"/>
      <c r="F1376" s="95"/>
      <c r="G1376" s="95">
        <f>ROUND(E1376*F1376,2)</f>
        <v>0</v>
      </c>
      <c r="H1376" s="96">
        <v>0</v>
      </c>
    </row>
    <row r="1377" spans="1:8" s="71" customFormat="1" ht="15.95" hidden="1" customHeight="1">
      <c r="A1377" s="93"/>
      <c r="B1377" s="93"/>
      <c r="C1377" s="94"/>
      <c r="D1377" s="95"/>
      <c r="E1377" s="95"/>
      <c r="F1377" s="95"/>
      <c r="G1377" s="95">
        <f>ROUND(E1377*F1377,2)</f>
        <v>0</v>
      </c>
      <c r="H1377" s="96">
        <v>0</v>
      </c>
    </row>
    <row r="1378" spans="1:8" s="69" customFormat="1" ht="15.95" hidden="1" customHeight="1">
      <c r="A1378" s="93"/>
      <c r="B1378" s="93"/>
      <c r="C1378" s="94"/>
      <c r="D1378" s="95"/>
      <c r="E1378" s="95"/>
      <c r="F1378" s="95"/>
      <c r="G1378" s="95">
        <f>ROUND(E1378*F1378,2)</f>
        <v>0</v>
      </c>
      <c r="H1378" s="96">
        <v>0</v>
      </c>
    </row>
    <row r="1379" spans="1:8" s="71" customFormat="1" ht="15.95" hidden="1" customHeight="1">
      <c r="A1379" s="90" t="s">
        <v>667</v>
      </c>
      <c r="B1379" s="90" t="s">
        <v>667</v>
      </c>
      <c r="C1379" s="91" t="s">
        <v>668</v>
      </c>
      <c r="D1379" s="82"/>
      <c r="E1379" s="82"/>
      <c r="F1379" s="82"/>
      <c r="G1379" s="82">
        <f>SUM(G1380:G1382)</f>
        <v>0</v>
      </c>
      <c r="H1379" s="97"/>
    </row>
    <row r="1380" spans="1:8" s="71" customFormat="1" ht="15.95" hidden="1" customHeight="1">
      <c r="A1380" s="93"/>
      <c r="B1380" s="93"/>
      <c r="C1380" s="94"/>
      <c r="D1380" s="95"/>
      <c r="E1380" s="95"/>
      <c r="F1380" s="95"/>
      <c r="G1380" s="95">
        <f>ROUND(E1380*F1380,2)</f>
        <v>0</v>
      </c>
      <c r="H1380" s="96">
        <v>0</v>
      </c>
    </row>
    <row r="1381" spans="1:8" s="71" customFormat="1" ht="15.95" hidden="1" customHeight="1">
      <c r="A1381" s="93"/>
      <c r="B1381" s="93"/>
      <c r="C1381" s="94"/>
      <c r="D1381" s="95"/>
      <c r="E1381" s="95"/>
      <c r="F1381" s="95"/>
      <c r="G1381" s="95">
        <f>ROUND(E1381*F1381,2)</f>
        <v>0</v>
      </c>
      <c r="H1381" s="96">
        <v>0</v>
      </c>
    </row>
    <row r="1382" spans="1:8" s="69" customFormat="1" ht="15.95" hidden="1" customHeight="1">
      <c r="A1382" s="93"/>
      <c r="B1382" s="93"/>
      <c r="C1382" s="94"/>
      <c r="D1382" s="95"/>
      <c r="E1382" s="95"/>
      <c r="F1382" s="95"/>
      <c r="G1382" s="95">
        <f>ROUND(E1382*F1382,2)</f>
        <v>0</v>
      </c>
      <c r="H1382" s="96">
        <v>0</v>
      </c>
    </row>
    <row r="1383" spans="1:8" s="71" customFormat="1" ht="15.95" hidden="1" customHeight="1">
      <c r="A1383" s="90" t="s">
        <v>669</v>
      </c>
      <c r="B1383" s="90" t="s">
        <v>669</v>
      </c>
      <c r="C1383" s="91" t="s">
        <v>670</v>
      </c>
      <c r="D1383" s="82"/>
      <c r="E1383" s="82"/>
      <c r="F1383" s="82"/>
      <c r="G1383" s="82">
        <f>SUM(G1384:G1386)</f>
        <v>0</v>
      </c>
      <c r="H1383" s="97"/>
    </row>
    <row r="1384" spans="1:8" s="71" customFormat="1" ht="15.95" hidden="1" customHeight="1">
      <c r="A1384" s="93"/>
      <c r="B1384" s="93"/>
      <c r="C1384" s="94"/>
      <c r="D1384" s="95"/>
      <c r="E1384" s="95"/>
      <c r="F1384" s="95"/>
      <c r="G1384" s="95">
        <f>ROUND(E1384*F1384,2)</f>
        <v>0</v>
      </c>
      <c r="H1384" s="96">
        <v>0</v>
      </c>
    </row>
    <row r="1385" spans="1:8" s="71" customFormat="1" ht="15.95" hidden="1" customHeight="1">
      <c r="A1385" s="93"/>
      <c r="B1385" s="93"/>
      <c r="C1385" s="94"/>
      <c r="D1385" s="95"/>
      <c r="E1385" s="95"/>
      <c r="F1385" s="95"/>
      <c r="G1385" s="95">
        <f>ROUND(E1385*F1385,2)</f>
        <v>0</v>
      </c>
      <c r="H1385" s="96">
        <v>0</v>
      </c>
    </row>
    <row r="1386" spans="1:8" s="69" customFormat="1" ht="15.95" hidden="1" customHeight="1">
      <c r="A1386" s="93"/>
      <c r="B1386" s="93"/>
      <c r="C1386" s="94"/>
      <c r="D1386" s="95"/>
      <c r="E1386" s="95"/>
      <c r="F1386" s="95"/>
      <c r="G1386" s="95">
        <f>ROUND(E1386*F1386,2)</f>
        <v>0</v>
      </c>
      <c r="H1386" s="96">
        <v>0</v>
      </c>
    </row>
    <row r="1387" spans="1:8" s="71" customFormat="1" ht="15.95" hidden="1" customHeight="1">
      <c r="A1387" s="90" t="s">
        <v>671</v>
      </c>
      <c r="B1387" s="90" t="s">
        <v>671</v>
      </c>
      <c r="C1387" s="91" t="s">
        <v>672</v>
      </c>
      <c r="D1387" s="82"/>
      <c r="E1387" s="82"/>
      <c r="F1387" s="82"/>
      <c r="G1387" s="82">
        <f>SUM(G1388:G1390)</f>
        <v>0</v>
      </c>
      <c r="H1387" s="97"/>
    </row>
    <row r="1388" spans="1:8" s="71" customFormat="1" ht="15.95" hidden="1" customHeight="1">
      <c r="A1388" s="93"/>
      <c r="B1388" s="93"/>
      <c r="C1388" s="94"/>
      <c r="D1388" s="95"/>
      <c r="E1388" s="95"/>
      <c r="F1388" s="95"/>
      <c r="G1388" s="95">
        <f>ROUND(E1388*F1388,2)</f>
        <v>0</v>
      </c>
      <c r="H1388" s="96">
        <v>0</v>
      </c>
    </row>
    <row r="1389" spans="1:8" s="71" customFormat="1" ht="15.95" hidden="1" customHeight="1">
      <c r="A1389" s="93"/>
      <c r="B1389" s="93"/>
      <c r="C1389" s="94"/>
      <c r="D1389" s="95"/>
      <c r="E1389" s="95"/>
      <c r="F1389" s="95"/>
      <c r="G1389" s="95">
        <f>ROUND(E1389*F1389,2)</f>
        <v>0</v>
      </c>
      <c r="H1389" s="96">
        <v>0</v>
      </c>
    </row>
    <row r="1390" spans="1:8" s="69" customFormat="1" ht="15.95" hidden="1" customHeight="1">
      <c r="A1390" s="93"/>
      <c r="B1390" s="93"/>
      <c r="C1390" s="94"/>
      <c r="D1390" s="95"/>
      <c r="E1390" s="95"/>
      <c r="F1390" s="95"/>
      <c r="G1390" s="95">
        <f>ROUND(E1390*F1390,2)</f>
        <v>0</v>
      </c>
      <c r="H1390" s="96">
        <v>0</v>
      </c>
    </row>
    <row r="1391" spans="1:8" s="70" customFormat="1" ht="15.95" hidden="1" customHeight="1">
      <c r="A1391" s="98"/>
      <c r="B1391" s="98"/>
      <c r="C1391" s="99" t="s">
        <v>673</v>
      </c>
      <c r="D1391" s="100"/>
      <c r="E1391" s="100"/>
      <c r="F1391" s="100"/>
      <c r="G1391" s="92"/>
      <c r="H1391" s="97"/>
    </row>
    <row r="1392" spans="1:8" s="70" customFormat="1" ht="15.95" hidden="1" customHeight="1">
      <c r="A1392" s="107" t="s">
        <v>674</v>
      </c>
      <c r="B1392" s="107" t="s">
        <v>674</v>
      </c>
      <c r="C1392" s="102" t="s">
        <v>675</v>
      </c>
      <c r="D1392" s="103"/>
      <c r="E1392" s="103"/>
      <c r="F1392" s="103"/>
      <c r="G1392" s="89">
        <f>SG_17_01+SG_17_02+SG_17_03+SG_17_04+SG_17_05+SG_17_06+SG_17_07+SG_17_08+SG_17_09+SG_17_10+SG_17_11+SG_17_12+SG_17_13+SG_17_14+SG_17_15+SG_17_16+SG_17_17+SG_17_18+SG_17_19+SG_17_20</f>
        <v>0</v>
      </c>
      <c r="H1392" s="97"/>
    </row>
    <row r="1393" spans="1:8" s="70" customFormat="1" ht="15.95" hidden="1" customHeight="1">
      <c r="A1393" s="104" t="s">
        <v>676</v>
      </c>
      <c r="B1393" s="104" t="s">
        <v>676</v>
      </c>
      <c r="C1393" s="105" t="s">
        <v>677</v>
      </c>
      <c r="D1393" s="92"/>
      <c r="E1393" s="92"/>
      <c r="F1393" s="92"/>
      <c r="G1393" s="92">
        <f>SUM(G1394:G1396)</f>
        <v>0</v>
      </c>
      <c r="H1393" s="97"/>
    </row>
    <row r="1394" spans="1:8" s="70" customFormat="1" ht="15.95" hidden="1" customHeight="1">
      <c r="A1394" s="93"/>
      <c r="B1394" s="93"/>
      <c r="C1394" s="94"/>
      <c r="D1394" s="95"/>
      <c r="E1394" s="95"/>
      <c r="F1394" s="95"/>
      <c r="G1394" s="95">
        <f>ROUND(E1394*F1394,2)</f>
        <v>0</v>
      </c>
      <c r="H1394" s="97">
        <v>0</v>
      </c>
    </row>
    <row r="1395" spans="1:8" s="70" customFormat="1" ht="15.95" hidden="1" customHeight="1">
      <c r="A1395" s="93"/>
      <c r="B1395" s="93"/>
      <c r="C1395" s="94"/>
      <c r="D1395" s="95"/>
      <c r="E1395" s="95"/>
      <c r="F1395" s="95"/>
      <c r="G1395" s="95">
        <f>ROUND(E1395*F1395,2)</f>
        <v>0</v>
      </c>
      <c r="H1395" s="97">
        <v>0</v>
      </c>
    </row>
    <row r="1396" spans="1:8" s="70" customFormat="1" ht="15.95" hidden="1" customHeight="1">
      <c r="A1396" s="93"/>
      <c r="B1396" s="93"/>
      <c r="C1396" s="94"/>
      <c r="D1396" s="95"/>
      <c r="E1396" s="95"/>
      <c r="F1396" s="95"/>
      <c r="G1396" s="95">
        <f>ROUND(E1396*F1396,2)</f>
        <v>0</v>
      </c>
      <c r="H1396" s="97">
        <v>0</v>
      </c>
    </row>
    <row r="1397" spans="1:8" s="70" customFormat="1" ht="15.95" hidden="1" customHeight="1">
      <c r="A1397" s="90" t="s">
        <v>678</v>
      </c>
      <c r="B1397" s="90" t="s">
        <v>678</v>
      </c>
      <c r="C1397" s="91" t="s">
        <v>679</v>
      </c>
      <c r="D1397" s="82"/>
      <c r="E1397" s="82"/>
      <c r="F1397" s="82"/>
      <c r="G1397" s="82">
        <f>SUM(G1398:G1400)</f>
        <v>0</v>
      </c>
      <c r="H1397" s="97"/>
    </row>
    <row r="1398" spans="1:8" s="70" customFormat="1" ht="15.95" hidden="1" customHeight="1">
      <c r="A1398" s="93"/>
      <c r="B1398" s="93"/>
      <c r="C1398" s="94"/>
      <c r="D1398" s="95"/>
      <c r="E1398" s="95"/>
      <c r="F1398" s="95"/>
      <c r="G1398" s="95">
        <f>ROUND(E1398*F1398,2)</f>
        <v>0</v>
      </c>
      <c r="H1398" s="97">
        <v>0</v>
      </c>
    </row>
    <row r="1399" spans="1:8" s="70" customFormat="1" ht="15.95" hidden="1" customHeight="1">
      <c r="A1399" s="93"/>
      <c r="B1399" s="93"/>
      <c r="C1399" s="94"/>
      <c r="D1399" s="95"/>
      <c r="E1399" s="95"/>
      <c r="F1399" s="95"/>
      <c r="G1399" s="95">
        <f>ROUND(E1399*F1399,2)</f>
        <v>0</v>
      </c>
      <c r="H1399" s="97">
        <v>0</v>
      </c>
    </row>
    <row r="1400" spans="1:8" s="70" customFormat="1" ht="15.95" hidden="1" customHeight="1">
      <c r="A1400" s="93"/>
      <c r="B1400" s="93"/>
      <c r="C1400" s="94"/>
      <c r="D1400" s="95"/>
      <c r="E1400" s="95"/>
      <c r="F1400" s="95"/>
      <c r="G1400" s="95">
        <f>ROUND(E1400*F1400,2)</f>
        <v>0</v>
      </c>
      <c r="H1400" s="97">
        <v>0</v>
      </c>
    </row>
    <row r="1401" spans="1:8" s="70" customFormat="1" ht="15.95" hidden="1" customHeight="1">
      <c r="A1401" s="90" t="s">
        <v>680</v>
      </c>
      <c r="B1401" s="90" t="s">
        <v>680</v>
      </c>
      <c r="C1401" s="91" t="s">
        <v>681</v>
      </c>
      <c r="D1401" s="82"/>
      <c r="E1401" s="82"/>
      <c r="F1401" s="82"/>
      <c r="G1401" s="82">
        <f>SUM(G1402:G1404)</f>
        <v>0</v>
      </c>
      <c r="H1401" s="97"/>
    </row>
    <row r="1402" spans="1:8" s="70" customFormat="1" ht="15.95" hidden="1" customHeight="1">
      <c r="A1402" s="93"/>
      <c r="B1402" s="93"/>
      <c r="C1402" s="94"/>
      <c r="D1402" s="95"/>
      <c r="E1402" s="95"/>
      <c r="F1402" s="95"/>
      <c r="G1402" s="95">
        <f>ROUND(E1402*F1402,2)</f>
        <v>0</v>
      </c>
      <c r="H1402" s="97">
        <v>0</v>
      </c>
    </row>
    <row r="1403" spans="1:8" s="70" customFormat="1" ht="15.95" hidden="1" customHeight="1">
      <c r="A1403" s="93"/>
      <c r="B1403" s="93"/>
      <c r="C1403" s="94"/>
      <c r="D1403" s="95"/>
      <c r="E1403" s="95"/>
      <c r="F1403" s="95"/>
      <c r="G1403" s="95">
        <f>ROUND(E1403*F1403,2)</f>
        <v>0</v>
      </c>
      <c r="H1403" s="97">
        <v>0</v>
      </c>
    </row>
    <row r="1404" spans="1:8" s="70" customFormat="1" ht="15.95" hidden="1" customHeight="1">
      <c r="A1404" s="93"/>
      <c r="B1404" s="93"/>
      <c r="C1404" s="94"/>
      <c r="D1404" s="95"/>
      <c r="E1404" s="95"/>
      <c r="F1404" s="95"/>
      <c r="G1404" s="95">
        <f>ROUND(E1404*F1404,2)</f>
        <v>0</v>
      </c>
      <c r="H1404" s="97">
        <v>0</v>
      </c>
    </row>
    <row r="1405" spans="1:8" s="70" customFormat="1" ht="15.95" hidden="1" customHeight="1">
      <c r="A1405" s="90" t="s">
        <v>682</v>
      </c>
      <c r="B1405" s="90" t="s">
        <v>682</v>
      </c>
      <c r="C1405" s="91" t="s">
        <v>683</v>
      </c>
      <c r="D1405" s="82"/>
      <c r="E1405" s="82"/>
      <c r="F1405" s="82"/>
      <c r="G1405" s="82">
        <f>SUM(G1406:G1408)</f>
        <v>0</v>
      </c>
      <c r="H1405" s="97"/>
    </row>
    <row r="1406" spans="1:8" s="70" customFormat="1" ht="15.95" hidden="1" customHeight="1">
      <c r="A1406" s="93"/>
      <c r="B1406" s="93"/>
      <c r="C1406" s="94"/>
      <c r="D1406" s="95"/>
      <c r="E1406" s="95"/>
      <c r="F1406" s="95"/>
      <c r="G1406" s="95">
        <f>ROUND(E1406*F1406,2)</f>
        <v>0</v>
      </c>
      <c r="H1406" s="97">
        <v>0</v>
      </c>
    </row>
    <row r="1407" spans="1:8" s="70" customFormat="1" ht="15.95" hidden="1" customHeight="1">
      <c r="A1407" s="93"/>
      <c r="B1407" s="93"/>
      <c r="C1407" s="94"/>
      <c r="D1407" s="95"/>
      <c r="E1407" s="95"/>
      <c r="F1407" s="95"/>
      <c r="G1407" s="95">
        <f>ROUND(E1407*F1407,2)</f>
        <v>0</v>
      </c>
      <c r="H1407" s="97">
        <v>0</v>
      </c>
    </row>
    <row r="1408" spans="1:8" s="70" customFormat="1" ht="15.95" hidden="1" customHeight="1">
      <c r="A1408" s="93"/>
      <c r="B1408" s="93"/>
      <c r="C1408" s="94"/>
      <c r="D1408" s="95"/>
      <c r="E1408" s="95"/>
      <c r="F1408" s="95"/>
      <c r="G1408" s="95">
        <f>ROUND(E1408*F1408,2)</f>
        <v>0</v>
      </c>
      <c r="H1408" s="97">
        <v>0</v>
      </c>
    </row>
    <row r="1409" spans="1:8" s="70" customFormat="1" ht="15.95" hidden="1" customHeight="1">
      <c r="A1409" s="90" t="s">
        <v>684</v>
      </c>
      <c r="B1409" s="90" t="s">
        <v>684</v>
      </c>
      <c r="C1409" s="91" t="s">
        <v>685</v>
      </c>
      <c r="D1409" s="82"/>
      <c r="E1409" s="82"/>
      <c r="F1409" s="82"/>
      <c r="G1409" s="82">
        <f>SUM(G1410:G1412)</f>
        <v>0</v>
      </c>
      <c r="H1409" s="97"/>
    </row>
    <row r="1410" spans="1:8" s="70" customFormat="1" ht="15.95" hidden="1" customHeight="1">
      <c r="A1410" s="93"/>
      <c r="B1410" s="93"/>
      <c r="C1410" s="94"/>
      <c r="D1410" s="95"/>
      <c r="E1410" s="95"/>
      <c r="F1410" s="95"/>
      <c r="G1410" s="95">
        <f>ROUND(E1410*F1410,2)</f>
        <v>0</v>
      </c>
      <c r="H1410" s="97">
        <v>0</v>
      </c>
    </row>
    <row r="1411" spans="1:8" s="70" customFormat="1" ht="15.95" hidden="1" customHeight="1">
      <c r="A1411" s="93"/>
      <c r="B1411" s="93"/>
      <c r="C1411" s="94"/>
      <c r="D1411" s="95"/>
      <c r="E1411" s="95"/>
      <c r="F1411" s="95"/>
      <c r="G1411" s="95">
        <f>ROUND(E1411*F1411,2)</f>
        <v>0</v>
      </c>
      <c r="H1411" s="97">
        <v>0</v>
      </c>
    </row>
    <row r="1412" spans="1:8" s="70" customFormat="1" ht="15.95" hidden="1" customHeight="1">
      <c r="A1412" s="93"/>
      <c r="B1412" s="93"/>
      <c r="C1412" s="94"/>
      <c r="D1412" s="95"/>
      <c r="E1412" s="95"/>
      <c r="F1412" s="95"/>
      <c r="G1412" s="95">
        <f>ROUND(E1412*F1412,2)</f>
        <v>0</v>
      </c>
      <c r="H1412" s="97">
        <v>0</v>
      </c>
    </row>
    <row r="1413" spans="1:8" s="70" customFormat="1" ht="15.95" hidden="1" customHeight="1">
      <c r="A1413" s="90" t="s">
        <v>686</v>
      </c>
      <c r="B1413" s="90" t="s">
        <v>686</v>
      </c>
      <c r="C1413" s="91" t="s">
        <v>687</v>
      </c>
      <c r="D1413" s="82"/>
      <c r="E1413" s="82"/>
      <c r="F1413" s="82"/>
      <c r="G1413" s="82">
        <f>SUM(G1414:G1416)</f>
        <v>0</v>
      </c>
      <c r="H1413" s="97"/>
    </row>
    <row r="1414" spans="1:8" s="70" customFormat="1" ht="15.95" hidden="1" customHeight="1">
      <c r="A1414" s="93"/>
      <c r="B1414" s="93"/>
      <c r="C1414" s="94"/>
      <c r="D1414" s="95"/>
      <c r="E1414" s="95"/>
      <c r="F1414" s="95"/>
      <c r="G1414" s="95">
        <f>ROUND(E1414*F1414,2)</f>
        <v>0</v>
      </c>
      <c r="H1414" s="97">
        <v>0</v>
      </c>
    </row>
    <row r="1415" spans="1:8" s="70" customFormat="1" ht="15.95" hidden="1" customHeight="1">
      <c r="A1415" s="93"/>
      <c r="B1415" s="93"/>
      <c r="C1415" s="94"/>
      <c r="D1415" s="95"/>
      <c r="E1415" s="95"/>
      <c r="F1415" s="95"/>
      <c r="G1415" s="95">
        <f>ROUND(E1415*F1415,2)</f>
        <v>0</v>
      </c>
      <c r="H1415" s="97">
        <v>0</v>
      </c>
    </row>
    <row r="1416" spans="1:8" s="70" customFormat="1" ht="15.95" hidden="1" customHeight="1">
      <c r="A1416" s="93"/>
      <c r="B1416" s="93"/>
      <c r="C1416" s="94"/>
      <c r="D1416" s="95"/>
      <c r="E1416" s="95"/>
      <c r="F1416" s="95"/>
      <c r="G1416" s="95">
        <f>ROUND(E1416*F1416,2)</f>
        <v>0</v>
      </c>
      <c r="H1416" s="97">
        <v>0</v>
      </c>
    </row>
    <row r="1417" spans="1:8" s="70" customFormat="1" ht="15.95" hidden="1" customHeight="1">
      <c r="A1417" s="90" t="s">
        <v>688</v>
      </c>
      <c r="B1417" s="90" t="s">
        <v>688</v>
      </c>
      <c r="C1417" s="91" t="s">
        <v>689</v>
      </c>
      <c r="D1417" s="82"/>
      <c r="E1417" s="82"/>
      <c r="F1417" s="82"/>
      <c r="G1417" s="82">
        <f>SUM(G1418:G1420)</f>
        <v>0</v>
      </c>
      <c r="H1417" s="97"/>
    </row>
    <row r="1418" spans="1:8" s="70" customFormat="1" ht="15.95" hidden="1" customHeight="1">
      <c r="A1418" s="93"/>
      <c r="B1418" s="93"/>
      <c r="C1418" s="94"/>
      <c r="D1418" s="95"/>
      <c r="E1418" s="95"/>
      <c r="F1418" s="95"/>
      <c r="G1418" s="95">
        <f>ROUND(E1418*F1418,2)</f>
        <v>0</v>
      </c>
      <c r="H1418" s="97">
        <v>0</v>
      </c>
    </row>
    <row r="1419" spans="1:8" s="70" customFormat="1" ht="15.95" hidden="1" customHeight="1">
      <c r="A1419" s="93"/>
      <c r="B1419" s="93"/>
      <c r="C1419" s="94"/>
      <c r="D1419" s="95"/>
      <c r="E1419" s="95"/>
      <c r="F1419" s="95"/>
      <c r="G1419" s="95">
        <f>ROUND(E1419*F1419,2)</f>
        <v>0</v>
      </c>
      <c r="H1419" s="97">
        <v>0</v>
      </c>
    </row>
    <row r="1420" spans="1:8" s="70" customFormat="1" ht="15.95" hidden="1" customHeight="1">
      <c r="A1420" s="93"/>
      <c r="B1420" s="93"/>
      <c r="C1420" s="94"/>
      <c r="D1420" s="95"/>
      <c r="E1420" s="95"/>
      <c r="F1420" s="95"/>
      <c r="G1420" s="95">
        <f>ROUND(E1420*F1420,2)</f>
        <v>0</v>
      </c>
      <c r="H1420" s="97">
        <v>0</v>
      </c>
    </row>
    <row r="1421" spans="1:8" s="70" customFormat="1" ht="15.95" hidden="1" customHeight="1">
      <c r="A1421" s="90" t="s">
        <v>690</v>
      </c>
      <c r="B1421" s="90" t="s">
        <v>690</v>
      </c>
      <c r="C1421" s="91" t="s">
        <v>691</v>
      </c>
      <c r="D1421" s="82"/>
      <c r="E1421" s="82"/>
      <c r="F1421" s="82"/>
      <c r="G1421" s="82">
        <f>SUM(G1422:G1424)</f>
        <v>0</v>
      </c>
      <c r="H1421" s="97"/>
    </row>
    <row r="1422" spans="1:8" s="70" customFormat="1" ht="15.95" hidden="1" customHeight="1">
      <c r="A1422" s="93"/>
      <c r="B1422" s="93"/>
      <c r="C1422" s="94"/>
      <c r="D1422" s="95"/>
      <c r="E1422" s="95"/>
      <c r="F1422" s="95"/>
      <c r="G1422" s="95">
        <f>ROUND(E1422*F1422,2)</f>
        <v>0</v>
      </c>
      <c r="H1422" s="97">
        <v>0</v>
      </c>
    </row>
    <row r="1423" spans="1:8" s="70" customFormat="1" ht="15.95" hidden="1" customHeight="1">
      <c r="A1423" s="93"/>
      <c r="B1423" s="93"/>
      <c r="C1423" s="94"/>
      <c r="D1423" s="95"/>
      <c r="E1423" s="95"/>
      <c r="F1423" s="95"/>
      <c r="G1423" s="95">
        <f>ROUND(E1423*F1423,2)</f>
        <v>0</v>
      </c>
      <c r="H1423" s="97">
        <v>0</v>
      </c>
    </row>
    <row r="1424" spans="1:8" s="70" customFormat="1" ht="15.95" hidden="1" customHeight="1">
      <c r="A1424" s="93"/>
      <c r="B1424" s="93"/>
      <c r="C1424" s="94"/>
      <c r="D1424" s="95"/>
      <c r="E1424" s="95"/>
      <c r="F1424" s="95"/>
      <c r="G1424" s="95">
        <f>ROUND(E1424*F1424,2)</f>
        <v>0</v>
      </c>
      <c r="H1424" s="97">
        <v>0</v>
      </c>
    </row>
    <row r="1425" spans="1:8" s="70" customFormat="1" ht="15.95" hidden="1" customHeight="1">
      <c r="A1425" s="90" t="s">
        <v>692</v>
      </c>
      <c r="B1425" s="90" t="s">
        <v>692</v>
      </c>
      <c r="C1425" s="91" t="s">
        <v>693</v>
      </c>
      <c r="D1425" s="82"/>
      <c r="E1425" s="82"/>
      <c r="F1425" s="82"/>
      <c r="G1425" s="82">
        <f>SUM(G1426:G1428)</f>
        <v>0</v>
      </c>
      <c r="H1425" s="97"/>
    </row>
    <row r="1426" spans="1:8" s="70" customFormat="1" ht="15.95" hidden="1" customHeight="1">
      <c r="A1426" s="93"/>
      <c r="B1426" s="93"/>
      <c r="C1426" s="94"/>
      <c r="D1426" s="95"/>
      <c r="E1426" s="95"/>
      <c r="F1426" s="95"/>
      <c r="G1426" s="95">
        <f>ROUND(E1426*F1426,2)</f>
        <v>0</v>
      </c>
      <c r="H1426" s="97">
        <v>0</v>
      </c>
    </row>
    <row r="1427" spans="1:8" s="70" customFormat="1" ht="15.95" hidden="1" customHeight="1">
      <c r="A1427" s="93"/>
      <c r="B1427" s="93"/>
      <c r="C1427" s="94"/>
      <c r="D1427" s="95"/>
      <c r="E1427" s="95"/>
      <c r="F1427" s="95"/>
      <c r="G1427" s="95">
        <f>ROUND(E1427*F1427,2)</f>
        <v>0</v>
      </c>
      <c r="H1427" s="97">
        <v>0</v>
      </c>
    </row>
    <row r="1428" spans="1:8" s="70" customFormat="1" ht="15.95" hidden="1" customHeight="1">
      <c r="A1428" s="93"/>
      <c r="B1428" s="93"/>
      <c r="C1428" s="94"/>
      <c r="D1428" s="95"/>
      <c r="E1428" s="95"/>
      <c r="F1428" s="95"/>
      <c r="G1428" s="95">
        <f>ROUND(E1428*F1428,2)</f>
        <v>0</v>
      </c>
      <c r="H1428" s="97">
        <v>0</v>
      </c>
    </row>
    <row r="1429" spans="1:8" s="70" customFormat="1" ht="15.95" hidden="1" customHeight="1">
      <c r="A1429" s="90" t="s">
        <v>694</v>
      </c>
      <c r="B1429" s="90" t="s">
        <v>694</v>
      </c>
      <c r="C1429" s="91" t="s">
        <v>695</v>
      </c>
      <c r="D1429" s="82"/>
      <c r="E1429" s="82"/>
      <c r="F1429" s="82"/>
      <c r="G1429" s="82">
        <f>SUM(G1430:G1432)</f>
        <v>0</v>
      </c>
      <c r="H1429" s="97"/>
    </row>
    <row r="1430" spans="1:8" s="70" customFormat="1" ht="15.95" hidden="1" customHeight="1">
      <c r="A1430" s="93"/>
      <c r="B1430" s="93"/>
      <c r="C1430" s="94"/>
      <c r="D1430" s="95"/>
      <c r="E1430" s="95"/>
      <c r="F1430" s="95"/>
      <c r="G1430" s="95">
        <f>ROUND(E1430*F1430,2)</f>
        <v>0</v>
      </c>
      <c r="H1430" s="97">
        <v>0</v>
      </c>
    </row>
    <row r="1431" spans="1:8" s="70" customFormat="1" ht="15.95" hidden="1" customHeight="1">
      <c r="A1431" s="93"/>
      <c r="B1431" s="93"/>
      <c r="C1431" s="94"/>
      <c r="D1431" s="95"/>
      <c r="E1431" s="95"/>
      <c r="F1431" s="95"/>
      <c r="G1431" s="95">
        <f>ROUND(E1431*F1431,2)</f>
        <v>0</v>
      </c>
      <c r="H1431" s="97">
        <v>0</v>
      </c>
    </row>
    <row r="1432" spans="1:8" s="70" customFormat="1" ht="15.95" hidden="1" customHeight="1">
      <c r="A1432" s="93"/>
      <c r="B1432" s="93"/>
      <c r="C1432" s="94"/>
      <c r="D1432" s="95"/>
      <c r="E1432" s="95"/>
      <c r="F1432" s="95"/>
      <c r="G1432" s="95">
        <f>ROUND(E1432*F1432,2)</f>
        <v>0</v>
      </c>
      <c r="H1432" s="97">
        <v>0</v>
      </c>
    </row>
    <row r="1433" spans="1:8" s="70" customFormat="1" ht="15.95" hidden="1" customHeight="1">
      <c r="A1433" s="90" t="s">
        <v>696</v>
      </c>
      <c r="B1433" s="90" t="s">
        <v>696</v>
      </c>
      <c r="C1433" s="91" t="s">
        <v>697</v>
      </c>
      <c r="D1433" s="82"/>
      <c r="E1433" s="82"/>
      <c r="F1433" s="82"/>
      <c r="G1433" s="82">
        <f>SUM(G1434:G1436)</f>
        <v>0</v>
      </c>
      <c r="H1433" s="97"/>
    </row>
    <row r="1434" spans="1:8" s="70" customFormat="1" ht="15.95" hidden="1" customHeight="1">
      <c r="A1434" s="93"/>
      <c r="B1434" s="93"/>
      <c r="C1434" s="94"/>
      <c r="D1434" s="95"/>
      <c r="E1434" s="95"/>
      <c r="F1434" s="95"/>
      <c r="G1434" s="95">
        <f>ROUND(E1434*F1434,2)</f>
        <v>0</v>
      </c>
      <c r="H1434" s="97">
        <v>0</v>
      </c>
    </row>
    <row r="1435" spans="1:8" s="70" customFormat="1" ht="15.95" hidden="1" customHeight="1">
      <c r="A1435" s="93"/>
      <c r="B1435" s="93"/>
      <c r="C1435" s="94"/>
      <c r="D1435" s="95"/>
      <c r="E1435" s="95"/>
      <c r="F1435" s="95"/>
      <c r="G1435" s="95">
        <f>ROUND(E1435*F1435,2)</f>
        <v>0</v>
      </c>
      <c r="H1435" s="97">
        <v>0</v>
      </c>
    </row>
    <row r="1436" spans="1:8" s="70" customFormat="1" ht="15.95" hidden="1" customHeight="1">
      <c r="A1436" s="93"/>
      <c r="B1436" s="93"/>
      <c r="C1436" s="94"/>
      <c r="D1436" s="95"/>
      <c r="E1436" s="95"/>
      <c r="F1436" s="95"/>
      <c r="G1436" s="95">
        <f>ROUND(E1436*F1436,2)</f>
        <v>0</v>
      </c>
      <c r="H1436" s="97">
        <v>0</v>
      </c>
    </row>
    <row r="1437" spans="1:8" s="70" customFormat="1" ht="15.95" hidden="1" customHeight="1">
      <c r="A1437" s="90" t="s">
        <v>698</v>
      </c>
      <c r="B1437" s="90" t="s">
        <v>698</v>
      </c>
      <c r="C1437" s="91" t="s">
        <v>699</v>
      </c>
      <c r="D1437" s="82"/>
      <c r="E1437" s="82"/>
      <c r="F1437" s="82"/>
      <c r="G1437" s="82">
        <f>SUM(G1438:G1440)</f>
        <v>0</v>
      </c>
      <c r="H1437" s="97"/>
    </row>
    <row r="1438" spans="1:8" s="70" customFormat="1" ht="15.95" hidden="1" customHeight="1">
      <c r="A1438" s="93"/>
      <c r="B1438" s="93"/>
      <c r="C1438" s="94"/>
      <c r="D1438" s="95"/>
      <c r="E1438" s="95"/>
      <c r="F1438" s="95"/>
      <c r="G1438" s="95">
        <f>ROUND(E1438*F1438,2)</f>
        <v>0</v>
      </c>
      <c r="H1438" s="97">
        <v>0</v>
      </c>
    </row>
    <row r="1439" spans="1:8" s="70" customFormat="1" ht="15.95" hidden="1" customHeight="1">
      <c r="A1439" s="93"/>
      <c r="B1439" s="93"/>
      <c r="C1439" s="94"/>
      <c r="D1439" s="95"/>
      <c r="E1439" s="95"/>
      <c r="F1439" s="95"/>
      <c r="G1439" s="95">
        <f>ROUND(E1439*F1439,2)</f>
        <v>0</v>
      </c>
      <c r="H1439" s="97">
        <v>0</v>
      </c>
    </row>
    <row r="1440" spans="1:8" s="70" customFormat="1" ht="15.95" hidden="1" customHeight="1">
      <c r="A1440" s="93"/>
      <c r="B1440" s="93"/>
      <c r="C1440" s="94"/>
      <c r="D1440" s="95"/>
      <c r="E1440" s="95"/>
      <c r="F1440" s="95"/>
      <c r="G1440" s="95">
        <f>ROUND(E1440*F1440,2)</f>
        <v>0</v>
      </c>
      <c r="H1440" s="97">
        <v>0</v>
      </c>
    </row>
    <row r="1441" spans="1:8" s="70" customFormat="1" ht="15.95" hidden="1" customHeight="1">
      <c r="A1441" s="90" t="s">
        <v>700</v>
      </c>
      <c r="B1441" s="90" t="s">
        <v>700</v>
      </c>
      <c r="C1441" s="91" t="s">
        <v>701</v>
      </c>
      <c r="D1441" s="82"/>
      <c r="E1441" s="82"/>
      <c r="F1441" s="82"/>
      <c r="G1441" s="82">
        <f>SUM(G1442:G1444)</f>
        <v>0</v>
      </c>
      <c r="H1441" s="97"/>
    </row>
    <row r="1442" spans="1:8" s="70" customFormat="1" ht="15.95" hidden="1" customHeight="1">
      <c r="A1442" s="93"/>
      <c r="B1442" s="93"/>
      <c r="C1442" s="94"/>
      <c r="D1442" s="95"/>
      <c r="E1442" s="95"/>
      <c r="F1442" s="95"/>
      <c r="G1442" s="95">
        <f>ROUND(E1442*F1442,2)</f>
        <v>0</v>
      </c>
      <c r="H1442" s="97">
        <v>0</v>
      </c>
    </row>
    <row r="1443" spans="1:8" s="70" customFormat="1" ht="15.95" hidden="1" customHeight="1">
      <c r="A1443" s="93"/>
      <c r="B1443" s="93"/>
      <c r="C1443" s="94"/>
      <c r="D1443" s="95"/>
      <c r="E1443" s="95"/>
      <c r="F1443" s="95"/>
      <c r="G1443" s="95">
        <f>ROUND(E1443*F1443,2)</f>
        <v>0</v>
      </c>
      <c r="H1443" s="97">
        <v>0</v>
      </c>
    </row>
    <row r="1444" spans="1:8" s="70" customFormat="1" ht="15.95" hidden="1" customHeight="1">
      <c r="A1444" s="93"/>
      <c r="B1444" s="93"/>
      <c r="C1444" s="94"/>
      <c r="D1444" s="95"/>
      <c r="E1444" s="95"/>
      <c r="F1444" s="95"/>
      <c r="G1444" s="95">
        <f>ROUND(E1444*F1444,2)</f>
        <v>0</v>
      </c>
      <c r="H1444" s="97">
        <v>0</v>
      </c>
    </row>
    <row r="1445" spans="1:8" s="70" customFormat="1" ht="15.95" hidden="1" customHeight="1">
      <c r="A1445" s="90" t="s">
        <v>702</v>
      </c>
      <c r="B1445" s="90" t="s">
        <v>702</v>
      </c>
      <c r="C1445" s="91" t="s">
        <v>703</v>
      </c>
      <c r="D1445" s="82"/>
      <c r="E1445" s="82"/>
      <c r="F1445" s="82"/>
      <c r="G1445" s="82">
        <f>SUM(G1446:G1448)</f>
        <v>0</v>
      </c>
      <c r="H1445" s="97"/>
    </row>
    <row r="1446" spans="1:8" s="70" customFormat="1" ht="15.95" hidden="1" customHeight="1">
      <c r="A1446" s="93"/>
      <c r="B1446" s="93"/>
      <c r="C1446" s="94"/>
      <c r="D1446" s="95"/>
      <c r="E1446" s="95"/>
      <c r="F1446" s="95"/>
      <c r="G1446" s="95">
        <f>ROUND(E1446*F1446,2)</f>
        <v>0</v>
      </c>
      <c r="H1446" s="97">
        <v>0</v>
      </c>
    </row>
    <row r="1447" spans="1:8" s="70" customFormat="1" ht="15.95" hidden="1" customHeight="1">
      <c r="A1447" s="93"/>
      <c r="B1447" s="93"/>
      <c r="C1447" s="94"/>
      <c r="D1447" s="95"/>
      <c r="E1447" s="95"/>
      <c r="F1447" s="95"/>
      <c r="G1447" s="95">
        <f>ROUND(E1447*F1447,2)</f>
        <v>0</v>
      </c>
      <c r="H1447" s="97">
        <v>0</v>
      </c>
    </row>
    <row r="1448" spans="1:8" s="70" customFormat="1" ht="15.95" hidden="1" customHeight="1">
      <c r="A1448" s="93"/>
      <c r="B1448" s="93"/>
      <c r="C1448" s="94"/>
      <c r="D1448" s="95"/>
      <c r="E1448" s="95"/>
      <c r="F1448" s="95"/>
      <c r="G1448" s="95">
        <f>ROUND(E1448*F1448,2)</f>
        <v>0</v>
      </c>
      <c r="H1448" s="97">
        <v>0</v>
      </c>
    </row>
    <row r="1449" spans="1:8" s="70" customFormat="1" ht="15.95" hidden="1" customHeight="1">
      <c r="A1449" s="90" t="s">
        <v>704</v>
      </c>
      <c r="B1449" s="90" t="s">
        <v>704</v>
      </c>
      <c r="C1449" s="91" t="s">
        <v>705</v>
      </c>
      <c r="D1449" s="82"/>
      <c r="E1449" s="82"/>
      <c r="F1449" s="82"/>
      <c r="G1449" s="82">
        <f>SUM(G1450:G1452)</f>
        <v>0</v>
      </c>
      <c r="H1449" s="97"/>
    </row>
    <row r="1450" spans="1:8" s="70" customFormat="1" ht="15.95" hidden="1" customHeight="1">
      <c r="A1450" s="93"/>
      <c r="B1450" s="93"/>
      <c r="C1450" s="94"/>
      <c r="D1450" s="95"/>
      <c r="E1450" s="95"/>
      <c r="F1450" s="95"/>
      <c r="G1450" s="95">
        <f>ROUND(E1450*F1450,2)</f>
        <v>0</v>
      </c>
      <c r="H1450" s="97">
        <v>0</v>
      </c>
    </row>
    <row r="1451" spans="1:8" s="70" customFormat="1" ht="15.95" hidden="1" customHeight="1">
      <c r="A1451" s="93"/>
      <c r="B1451" s="93"/>
      <c r="C1451" s="94"/>
      <c r="D1451" s="95"/>
      <c r="E1451" s="95"/>
      <c r="F1451" s="95"/>
      <c r="G1451" s="95">
        <f>ROUND(E1451*F1451,2)</f>
        <v>0</v>
      </c>
      <c r="H1451" s="97">
        <v>0</v>
      </c>
    </row>
    <row r="1452" spans="1:8" s="69" customFormat="1" ht="15.95" hidden="1" customHeight="1">
      <c r="A1452" s="93"/>
      <c r="B1452" s="93"/>
      <c r="C1452" s="94"/>
      <c r="D1452" s="95"/>
      <c r="E1452" s="95"/>
      <c r="F1452" s="95"/>
      <c r="G1452" s="95">
        <f>ROUND(E1452*F1452,2)</f>
        <v>0</v>
      </c>
      <c r="H1452" s="97">
        <v>0</v>
      </c>
    </row>
    <row r="1453" spans="1:8" s="71" customFormat="1" ht="15.95" hidden="1" customHeight="1">
      <c r="A1453" s="104" t="s">
        <v>706</v>
      </c>
      <c r="B1453" s="104" t="s">
        <v>706</v>
      </c>
      <c r="C1453" s="105" t="s">
        <v>707</v>
      </c>
      <c r="D1453" s="92"/>
      <c r="E1453" s="92"/>
      <c r="F1453" s="92"/>
      <c r="G1453" s="92">
        <f>SUM(G1454:G1456)</f>
        <v>0</v>
      </c>
      <c r="H1453" s="97"/>
    </row>
    <row r="1454" spans="1:8" s="71" customFormat="1" ht="15.95" hidden="1" customHeight="1">
      <c r="A1454" s="93"/>
      <c r="B1454" s="93"/>
      <c r="C1454" s="94"/>
      <c r="D1454" s="95"/>
      <c r="E1454" s="95"/>
      <c r="F1454" s="95"/>
      <c r="G1454" s="95">
        <f>ROUND(E1454*F1454,2)</f>
        <v>0</v>
      </c>
      <c r="H1454" s="96">
        <v>0</v>
      </c>
    </row>
    <row r="1455" spans="1:8" s="71" customFormat="1" ht="15.95" hidden="1" customHeight="1">
      <c r="A1455" s="93"/>
      <c r="B1455" s="93"/>
      <c r="C1455" s="94"/>
      <c r="D1455" s="95"/>
      <c r="E1455" s="95"/>
      <c r="F1455" s="95"/>
      <c r="G1455" s="95">
        <f>ROUND(E1455*F1455,2)</f>
        <v>0</v>
      </c>
      <c r="H1455" s="96">
        <v>0</v>
      </c>
    </row>
    <row r="1456" spans="1:8" s="69" customFormat="1" ht="15.95" hidden="1" customHeight="1">
      <c r="A1456" s="93"/>
      <c r="B1456" s="93"/>
      <c r="C1456" s="94"/>
      <c r="D1456" s="95"/>
      <c r="E1456" s="95"/>
      <c r="F1456" s="95"/>
      <c r="G1456" s="95">
        <f>ROUND(E1456*F1456,2)</f>
        <v>0</v>
      </c>
      <c r="H1456" s="96">
        <v>0</v>
      </c>
    </row>
    <row r="1457" spans="1:8" s="71" customFormat="1" ht="15.95" hidden="1" customHeight="1">
      <c r="A1457" s="90" t="s">
        <v>708</v>
      </c>
      <c r="B1457" s="90" t="s">
        <v>708</v>
      </c>
      <c r="C1457" s="91" t="s">
        <v>709</v>
      </c>
      <c r="D1457" s="82"/>
      <c r="E1457" s="82"/>
      <c r="F1457" s="82"/>
      <c r="G1457" s="82">
        <f>SUM(G1458:G1460)</f>
        <v>0</v>
      </c>
      <c r="H1457" s="97"/>
    </row>
    <row r="1458" spans="1:8" s="71" customFormat="1" ht="15.95" hidden="1" customHeight="1">
      <c r="A1458" s="93"/>
      <c r="B1458" s="93"/>
      <c r="C1458" s="94"/>
      <c r="D1458" s="95"/>
      <c r="E1458" s="95"/>
      <c r="F1458" s="95"/>
      <c r="G1458" s="95">
        <f>ROUND(E1458*F1458,2)</f>
        <v>0</v>
      </c>
      <c r="H1458" s="96">
        <v>0</v>
      </c>
    </row>
    <row r="1459" spans="1:8" s="71" customFormat="1" ht="15.95" hidden="1" customHeight="1">
      <c r="A1459" s="93"/>
      <c r="B1459" s="93"/>
      <c r="C1459" s="94"/>
      <c r="D1459" s="95"/>
      <c r="E1459" s="95"/>
      <c r="F1459" s="95"/>
      <c r="G1459" s="95">
        <f>ROUND(E1459*F1459,2)</f>
        <v>0</v>
      </c>
      <c r="H1459" s="96">
        <v>0</v>
      </c>
    </row>
    <row r="1460" spans="1:8" s="69" customFormat="1" ht="15.95" hidden="1" customHeight="1">
      <c r="A1460" s="93"/>
      <c r="B1460" s="93"/>
      <c r="C1460" s="94"/>
      <c r="D1460" s="95"/>
      <c r="E1460" s="95"/>
      <c r="F1460" s="95"/>
      <c r="G1460" s="95">
        <f>ROUND(E1460*F1460,2)</f>
        <v>0</v>
      </c>
      <c r="H1460" s="96">
        <v>0</v>
      </c>
    </row>
    <row r="1461" spans="1:8" s="71" customFormat="1" ht="15.95" hidden="1" customHeight="1">
      <c r="A1461" s="90" t="s">
        <v>710</v>
      </c>
      <c r="B1461" s="90" t="s">
        <v>710</v>
      </c>
      <c r="C1461" s="91" t="s">
        <v>711</v>
      </c>
      <c r="D1461" s="82"/>
      <c r="E1461" s="82"/>
      <c r="F1461" s="82"/>
      <c r="G1461" s="82">
        <f>SUM(G1462:G1464)</f>
        <v>0</v>
      </c>
      <c r="H1461" s="97"/>
    </row>
    <row r="1462" spans="1:8" s="71" customFormat="1" ht="15.95" hidden="1" customHeight="1">
      <c r="A1462" s="93"/>
      <c r="B1462" s="93"/>
      <c r="C1462" s="94"/>
      <c r="D1462" s="95"/>
      <c r="E1462" s="95"/>
      <c r="F1462" s="95"/>
      <c r="G1462" s="95">
        <f>ROUND(E1462*F1462,2)</f>
        <v>0</v>
      </c>
      <c r="H1462" s="96">
        <v>0</v>
      </c>
    </row>
    <row r="1463" spans="1:8" s="71" customFormat="1" ht="15.95" hidden="1" customHeight="1">
      <c r="A1463" s="93"/>
      <c r="B1463" s="93"/>
      <c r="C1463" s="94"/>
      <c r="D1463" s="95"/>
      <c r="E1463" s="95"/>
      <c r="F1463" s="95"/>
      <c r="G1463" s="95">
        <f>ROUND(E1463*F1463,2)</f>
        <v>0</v>
      </c>
      <c r="H1463" s="96">
        <v>0</v>
      </c>
    </row>
    <row r="1464" spans="1:8" s="69" customFormat="1" ht="15.95" hidden="1" customHeight="1">
      <c r="A1464" s="93"/>
      <c r="B1464" s="93"/>
      <c r="C1464" s="94"/>
      <c r="D1464" s="95"/>
      <c r="E1464" s="95"/>
      <c r="F1464" s="95"/>
      <c r="G1464" s="95">
        <f>ROUND(E1464*F1464,2)</f>
        <v>0</v>
      </c>
      <c r="H1464" s="96">
        <v>0</v>
      </c>
    </row>
    <row r="1465" spans="1:8" s="71" customFormat="1" ht="15.95" hidden="1" customHeight="1">
      <c r="A1465" s="90" t="s">
        <v>712</v>
      </c>
      <c r="B1465" s="90" t="s">
        <v>712</v>
      </c>
      <c r="C1465" s="91" t="s">
        <v>713</v>
      </c>
      <c r="D1465" s="82"/>
      <c r="E1465" s="82"/>
      <c r="F1465" s="82"/>
      <c r="G1465" s="82">
        <f>SUM(G1466:G1468)</f>
        <v>0</v>
      </c>
      <c r="H1465" s="97"/>
    </row>
    <row r="1466" spans="1:8" s="71" customFormat="1" ht="15.95" hidden="1" customHeight="1">
      <c r="A1466" s="93"/>
      <c r="B1466" s="93"/>
      <c r="C1466" s="94"/>
      <c r="D1466" s="95"/>
      <c r="E1466" s="95"/>
      <c r="F1466" s="95"/>
      <c r="G1466" s="95">
        <f>ROUND(E1466*F1466,2)</f>
        <v>0</v>
      </c>
      <c r="H1466" s="96">
        <v>0</v>
      </c>
    </row>
    <row r="1467" spans="1:8" s="71" customFormat="1" ht="15.95" hidden="1" customHeight="1">
      <c r="A1467" s="93"/>
      <c r="B1467" s="93"/>
      <c r="C1467" s="94"/>
      <c r="D1467" s="95"/>
      <c r="E1467" s="95"/>
      <c r="F1467" s="95"/>
      <c r="G1467" s="95">
        <f>ROUND(E1467*F1467,2)</f>
        <v>0</v>
      </c>
      <c r="H1467" s="96">
        <v>0</v>
      </c>
    </row>
    <row r="1468" spans="1:8" s="69" customFormat="1" ht="15.95" hidden="1" customHeight="1">
      <c r="A1468" s="93"/>
      <c r="B1468" s="93"/>
      <c r="C1468" s="94"/>
      <c r="D1468" s="95"/>
      <c r="E1468" s="95"/>
      <c r="F1468" s="95"/>
      <c r="G1468" s="95">
        <f>ROUND(E1468*F1468,2)</f>
        <v>0</v>
      </c>
      <c r="H1468" s="96">
        <v>0</v>
      </c>
    </row>
    <row r="1469" spans="1:8" s="71" customFormat="1" ht="15.95" hidden="1" customHeight="1">
      <c r="A1469" s="90" t="s">
        <v>714</v>
      </c>
      <c r="B1469" s="90" t="s">
        <v>714</v>
      </c>
      <c r="C1469" s="91" t="s">
        <v>715</v>
      </c>
      <c r="D1469" s="82"/>
      <c r="E1469" s="82"/>
      <c r="F1469" s="82"/>
      <c r="G1469" s="82">
        <f>SUM(G1470:G1472)</f>
        <v>0</v>
      </c>
      <c r="H1469" s="97"/>
    </row>
    <row r="1470" spans="1:8" s="71" customFormat="1" ht="15.95" hidden="1" customHeight="1">
      <c r="A1470" s="93"/>
      <c r="B1470" s="93"/>
      <c r="C1470" s="94"/>
      <c r="D1470" s="95"/>
      <c r="E1470" s="95"/>
      <c r="F1470" s="95"/>
      <c r="G1470" s="95">
        <f>ROUND(E1470*F1470,2)</f>
        <v>0</v>
      </c>
      <c r="H1470" s="96">
        <v>0</v>
      </c>
    </row>
    <row r="1471" spans="1:8" s="71" customFormat="1" ht="15.95" hidden="1" customHeight="1">
      <c r="A1471" s="93"/>
      <c r="B1471" s="93"/>
      <c r="C1471" s="94"/>
      <c r="D1471" s="95"/>
      <c r="E1471" s="95"/>
      <c r="F1471" s="95"/>
      <c r="G1471" s="95">
        <f>ROUND(E1471*F1471,2)</f>
        <v>0</v>
      </c>
      <c r="H1471" s="96">
        <v>0</v>
      </c>
    </row>
    <row r="1472" spans="1:8" s="69" customFormat="1" ht="15.95" hidden="1" customHeight="1">
      <c r="A1472" s="93"/>
      <c r="B1472" s="93"/>
      <c r="C1472" s="94"/>
      <c r="D1472" s="95"/>
      <c r="E1472" s="95"/>
      <c r="F1472" s="95"/>
      <c r="G1472" s="95">
        <f>ROUND(E1472*F1472,2)</f>
        <v>0</v>
      </c>
      <c r="H1472" s="96">
        <v>0</v>
      </c>
    </row>
    <row r="1473" spans="1:8" s="70" customFormat="1" ht="15.95" hidden="1" customHeight="1">
      <c r="A1473" s="83"/>
      <c r="B1473" s="83"/>
      <c r="C1473" s="84" t="s">
        <v>716</v>
      </c>
      <c r="D1473" s="85"/>
      <c r="E1473" s="85"/>
      <c r="F1473" s="85"/>
      <c r="G1473" s="85"/>
      <c r="H1473" s="97"/>
    </row>
    <row r="1474" spans="1:8" s="70" customFormat="1" ht="15.95" hidden="1" customHeight="1">
      <c r="A1474" s="106" t="s">
        <v>717</v>
      </c>
      <c r="B1474" s="106" t="s">
        <v>717</v>
      </c>
      <c r="C1474" s="88" t="s">
        <v>718</v>
      </c>
      <c r="D1474" s="89"/>
      <c r="E1474" s="89"/>
      <c r="F1474" s="89"/>
      <c r="G1474" s="89">
        <f>SG_18_01+SG_18_02+SG_18_03+SG_18_04+SG_18_05+SG_18_06+SG_18_07+SG_18_08+SG_18_09+SG_18_10+SG_18_11+SG_18_12+SG_18_13+SG_18_14+SG_18_15+SG_18_16+SG_18_17+SG_18_18+SG_18_19+SG_18_20</f>
        <v>0</v>
      </c>
      <c r="H1474" s="97"/>
    </row>
    <row r="1475" spans="1:8" s="70" customFormat="1" ht="15.95" hidden="1" customHeight="1">
      <c r="A1475" s="90" t="s">
        <v>719</v>
      </c>
      <c r="B1475" s="90" t="s">
        <v>719</v>
      </c>
      <c r="C1475" s="91" t="s">
        <v>720</v>
      </c>
      <c r="D1475" s="82"/>
      <c r="E1475" s="82"/>
      <c r="F1475" s="82"/>
      <c r="G1475" s="82">
        <f>SUM(G1476:G1478)</f>
        <v>0</v>
      </c>
      <c r="H1475" s="97"/>
    </row>
    <row r="1476" spans="1:8" s="70" customFormat="1" ht="15.95" hidden="1" customHeight="1">
      <c r="A1476" s="93"/>
      <c r="B1476" s="93"/>
      <c r="C1476" s="94"/>
      <c r="D1476" s="95"/>
      <c r="E1476" s="95"/>
      <c r="F1476" s="95"/>
      <c r="G1476" s="95">
        <f>ROUND(E1476*F1476,2)</f>
        <v>0</v>
      </c>
      <c r="H1476" s="97">
        <v>0</v>
      </c>
    </row>
    <row r="1477" spans="1:8" s="70" customFormat="1" ht="15.95" hidden="1" customHeight="1">
      <c r="A1477" s="93"/>
      <c r="B1477" s="93"/>
      <c r="C1477" s="94"/>
      <c r="D1477" s="95"/>
      <c r="E1477" s="95"/>
      <c r="F1477" s="95"/>
      <c r="G1477" s="95">
        <f>ROUND(E1477*F1477,2)</f>
        <v>0</v>
      </c>
      <c r="H1477" s="97">
        <v>0</v>
      </c>
    </row>
    <row r="1478" spans="1:8" s="70" customFormat="1" ht="15.95" hidden="1" customHeight="1">
      <c r="A1478" s="93"/>
      <c r="B1478" s="93"/>
      <c r="C1478" s="94"/>
      <c r="D1478" s="95"/>
      <c r="E1478" s="95"/>
      <c r="F1478" s="95"/>
      <c r="G1478" s="95">
        <f>ROUND(E1478*F1478,2)</f>
        <v>0</v>
      </c>
      <c r="H1478" s="97">
        <v>0</v>
      </c>
    </row>
    <row r="1479" spans="1:8" s="70" customFormat="1" ht="15.95" hidden="1" customHeight="1">
      <c r="A1479" s="90" t="s">
        <v>721</v>
      </c>
      <c r="B1479" s="90" t="s">
        <v>721</v>
      </c>
      <c r="C1479" s="91" t="s">
        <v>722</v>
      </c>
      <c r="D1479" s="82"/>
      <c r="E1479" s="82"/>
      <c r="F1479" s="82"/>
      <c r="G1479" s="82">
        <f>SUM(G1480:G1482)</f>
        <v>0</v>
      </c>
      <c r="H1479" s="97"/>
    </row>
    <row r="1480" spans="1:8" s="70" customFormat="1" ht="15.95" hidden="1" customHeight="1">
      <c r="A1480" s="93"/>
      <c r="B1480" s="93"/>
      <c r="C1480" s="94"/>
      <c r="D1480" s="95"/>
      <c r="E1480" s="95"/>
      <c r="F1480" s="95"/>
      <c r="G1480" s="95">
        <f>ROUND(E1480*F1480,2)</f>
        <v>0</v>
      </c>
      <c r="H1480" s="97">
        <v>0</v>
      </c>
    </row>
    <row r="1481" spans="1:8" s="70" customFormat="1" ht="15.95" hidden="1" customHeight="1">
      <c r="A1481" s="93"/>
      <c r="B1481" s="93"/>
      <c r="C1481" s="94"/>
      <c r="D1481" s="95"/>
      <c r="E1481" s="95"/>
      <c r="F1481" s="95"/>
      <c r="G1481" s="95">
        <f>ROUND(E1481*F1481,2)</f>
        <v>0</v>
      </c>
      <c r="H1481" s="97">
        <v>0</v>
      </c>
    </row>
    <row r="1482" spans="1:8" s="70" customFormat="1" ht="15.95" hidden="1" customHeight="1">
      <c r="A1482" s="93"/>
      <c r="B1482" s="93"/>
      <c r="C1482" s="94"/>
      <c r="D1482" s="95"/>
      <c r="E1482" s="95"/>
      <c r="F1482" s="95"/>
      <c r="G1482" s="95">
        <f>ROUND(E1482*F1482,2)</f>
        <v>0</v>
      </c>
      <c r="H1482" s="97">
        <v>0</v>
      </c>
    </row>
    <row r="1483" spans="1:8" s="70" customFormat="1" ht="15.95" hidden="1" customHeight="1">
      <c r="A1483" s="90" t="s">
        <v>723</v>
      </c>
      <c r="B1483" s="90" t="s">
        <v>723</v>
      </c>
      <c r="C1483" s="91" t="s">
        <v>724</v>
      </c>
      <c r="D1483" s="82"/>
      <c r="E1483" s="82"/>
      <c r="F1483" s="82"/>
      <c r="G1483" s="82">
        <f>SUM(G1484:G1486)</f>
        <v>0</v>
      </c>
      <c r="H1483" s="97"/>
    </row>
    <row r="1484" spans="1:8" s="70" customFormat="1" ht="15.95" hidden="1" customHeight="1">
      <c r="A1484" s="93"/>
      <c r="B1484" s="93"/>
      <c r="C1484" s="94"/>
      <c r="D1484" s="95"/>
      <c r="E1484" s="95"/>
      <c r="F1484" s="95"/>
      <c r="G1484" s="95">
        <f>ROUND(E1484*F1484,2)</f>
        <v>0</v>
      </c>
      <c r="H1484" s="97">
        <v>0</v>
      </c>
    </row>
    <row r="1485" spans="1:8" s="70" customFormat="1" ht="15.95" hidden="1" customHeight="1">
      <c r="A1485" s="93"/>
      <c r="B1485" s="93"/>
      <c r="C1485" s="94"/>
      <c r="D1485" s="95"/>
      <c r="E1485" s="95"/>
      <c r="F1485" s="95"/>
      <c r="G1485" s="95">
        <f>ROUND(E1485*F1485,2)</f>
        <v>0</v>
      </c>
      <c r="H1485" s="97">
        <v>0</v>
      </c>
    </row>
    <row r="1486" spans="1:8" s="70" customFormat="1" ht="15.95" hidden="1" customHeight="1">
      <c r="A1486" s="93"/>
      <c r="B1486" s="93"/>
      <c r="C1486" s="94"/>
      <c r="D1486" s="95"/>
      <c r="E1486" s="95"/>
      <c r="F1486" s="95"/>
      <c r="G1486" s="95">
        <f>ROUND(E1486*F1486,2)</f>
        <v>0</v>
      </c>
      <c r="H1486" s="97">
        <v>0</v>
      </c>
    </row>
    <row r="1487" spans="1:8" s="70" customFormat="1" ht="15.95" hidden="1" customHeight="1">
      <c r="A1487" s="90" t="s">
        <v>725</v>
      </c>
      <c r="B1487" s="90" t="s">
        <v>725</v>
      </c>
      <c r="C1487" s="91" t="s">
        <v>726</v>
      </c>
      <c r="D1487" s="82"/>
      <c r="E1487" s="82"/>
      <c r="F1487" s="82"/>
      <c r="G1487" s="82">
        <f>SUM(G1488:G1490)</f>
        <v>0</v>
      </c>
      <c r="H1487" s="97"/>
    </row>
    <row r="1488" spans="1:8" s="70" customFormat="1" ht="15.95" hidden="1" customHeight="1">
      <c r="A1488" s="93"/>
      <c r="B1488" s="93"/>
      <c r="C1488" s="94"/>
      <c r="D1488" s="95"/>
      <c r="E1488" s="95"/>
      <c r="F1488" s="95"/>
      <c r="G1488" s="95">
        <f>ROUND(E1488*F1488,2)</f>
        <v>0</v>
      </c>
      <c r="H1488" s="97">
        <v>0</v>
      </c>
    </row>
    <row r="1489" spans="1:8" s="70" customFormat="1" ht="15.95" hidden="1" customHeight="1">
      <c r="A1489" s="93"/>
      <c r="B1489" s="93"/>
      <c r="C1489" s="94"/>
      <c r="D1489" s="95"/>
      <c r="E1489" s="95"/>
      <c r="F1489" s="95"/>
      <c r="G1489" s="95">
        <f>ROUND(E1489*F1489,2)</f>
        <v>0</v>
      </c>
      <c r="H1489" s="97">
        <v>0</v>
      </c>
    </row>
    <row r="1490" spans="1:8" s="70" customFormat="1" ht="15.95" hidden="1" customHeight="1">
      <c r="A1490" s="93"/>
      <c r="B1490" s="93"/>
      <c r="C1490" s="94"/>
      <c r="D1490" s="95"/>
      <c r="E1490" s="95"/>
      <c r="F1490" s="95"/>
      <c r="G1490" s="95">
        <f>ROUND(E1490*F1490,2)</f>
        <v>0</v>
      </c>
      <c r="H1490" s="97">
        <v>0</v>
      </c>
    </row>
    <row r="1491" spans="1:8" s="70" customFormat="1" ht="15.95" hidden="1" customHeight="1">
      <c r="A1491" s="90" t="s">
        <v>727</v>
      </c>
      <c r="B1491" s="90" t="s">
        <v>727</v>
      </c>
      <c r="C1491" s="91" t="s">
        <v>728</v>
      </c>
      <c r="D1491" s="82"/>
      <c r="E1491" s="82"/>
      <c r="F1491" s="82"/>
      <c r="G1491" s="82">
        <f>SUM(G1492:G1494)</f>
        <v>0</v>
      </c>
      <c r="H1491" s="97"/>
    </row>
    <row r="1492" spans="1:8" s="70" customFormat="1" ht="15.95" hidden="1" customHeight="1">
      <c r="A1492" s="93"/>
      <c r="B1492" s="93"/>
      <c r="C1492" s="94"/>
      <c r="D1492" s="95"/>
      <c r="E1492" s="95"/>
      <c r="F1492" s="95"/>
      <c r="G1492" s="95">
        <f>ROUND(E1492*F1492,2)</f>
        <v>0</v>
      </c>
      <c r="H1492" s="97">
        <v>0</v>
      </c>
    </row>
    <row r="1493" spans="1:8" s="70" customFormat="1" ht="15.95" hidden="1" customHeight="1">
      <c r="A1493" s="93"/>
      <c r="B1493" s="93"/>
      <c r="C1493" s="94"/>
      <c r="D1493" s="95"/>
      <c r="E1493" s="95"/>
      <c r="F1493" s="95"/>
      <c r="G1493" s="95">
        <f>ROUND(E1493*F1493,2)</f>
        <v>0</v>
      </c>
      <c r="H1493" s="97">
        <v>0</v>
      </c>
    </row>
    <row r="1494" spans="1:8" s="70" customFormat="1" ht="15.95" hidden="1" customHeight="1">
      <c r="A1494" s="93"/>
      <c r="B1494" s="93"/>
      <c r="C1494" s="94"/>
      <c r="D1494" s="95"/>
      <c r="E1494" s="95"/>
      <c r="F1494" s="95"/>
      <c r="G1494" s="95">
        <f>ROUND(E1494*F1494,2)</f>
        <v>0</v>
      </c>
      <c r="H1494" s="97">
        <v>0</v>
      </c>
    </row>
    <row r="1495" spans="1:8" s="70" customFormat="1" ht="15.95" hidden="1" customHeight="1">
      <c r="A1495" s="90" t="s">
        <v>729</v>
      </c>
      <c r="B1495" s="90" t="s">
        <v>729</v>
      </c>
      <c r="C1495" s="91" t="s">
        <v>730</v>
      </c>
      <c r="D1495" s="82"/>
      <c r="E1495" s="82"/>
      <c r="F1495" s="82"/>
      <c r="G1495" s="82">
        <f>SUM(G1496:G1498)</f>
        <v>0</v>
      </c>
      <c r="H1495" s="97"/>
    </row>
    <row r="1496" spans="1:8" s="70" customFormat="1" ht="15.95" hidden="1" customHeight="1">
      <c r="A1496" s="93"/>
      <c r="B1496" s="93"/>
      <c r="C1496" s="94"/>
      <c r="D1496" s="95"/>
      <c r="E1496" s="95"/>
      <c r="F1496" s="95"/>
      <c r="G1496" s="95">
        <f>ROUND(E1496*F1496,2)</f>
        <v>0</v>
      </c>
      <c r="H1496" s="97">
        <v>0</v>
      </c>
    </row>
    <row r="1497" spans="1:8" s="70" customFormat="1" ht="15.95" hidden="1" customHeight="1">
      <c r="A1497" s="93"/>
      <c r="B1497" s="93"/>
      <c r="C1497" s="94"/>
      <c r="D1497" s="95"/>
      <c r="E1497" s="95"/>
      <c r="F1497" s="95"/>
      <c r="G1497" s="95">
        <f>ROUND(E1497*F1497,2)</f>
        <v>0</v>
      </c>
      <c r="H1497" s="97">
        <v>0</v>
      </c>
    </row>
    <row r="1498" spans="1:8" s="70" customFormat="1" ht="15.95" hidden="1" customHeight="1">
      <c r="A1498" s="93"/>
      <c r="B1498" s="93"/>
      <c r="C1498" s="94"/>
      <c r="D1498" s="95"/>
      <c r="E1498" s="95"/>
      <c r="F1498" s="95"/>
      <c r="G1498" s="95">
        <f>ROUND(E1498*F1498,2)</f>
        <v>0</v>
      </c>
      <c r="H1498" s="97">
        <v>0</v>
      </c>
    </row>
    <row r="1499" spans="1:8" s="70" customFormat="1" ht="15.95" hidden="1" customHeight="1">
      <c r="A1499" s="90" t="s">
        <v>731</v>
      </c>
      <c r="B1499" s="90" t="s">
        <v>731</v>
      </c>
      <c r="C1499" s="91" t="s">
        <v>732</v>
      </c>
      <c r="D1499" s="82"/>
      <c r="E1499" s="82"/>
      <c r="F1499" s="82"/>
      <c r="G1499" s="82">
        <f>SUM(G1500:G1502)</f>
        <v>0</v>
      </c>
      <c r="H1499" s="97"/>
    </row>
    <row r="1500" spans="1:8" s="70" customFormat="1" ht="15.95" hidden="1" customHeight="1">
      <c r="A1500" s="93"/>
      <c r="B1500" s="93"/>
      <c r="C1500" s="94"/>
      <c r="D1500" s="95"/>
      <c r="E1500" s="95"/>
      <c r="F1500" s="95"/>
      <c r="G1500" s="95">
        <f>ROUND(E1500*F1500,2)</f>
        <v>0</v>
      </c>
      <c r="H1500" s="97">
        <v>0</v>
      </c>
    </row>
    <row r="1501" spans="1:8" s="70" customFormat="1" ht="15.95" hidden="1" customHeight="1">
      <c r="A1501" s="93"/>
      <c r="B1501" s="93"/>
      <c r="C1501" s="94"/>
      <c r="D1501" s="95"/>
      <c r="E1501" s="95"/>
      <c r="F1501" s="95"/>
      <c r="G1501" s="95">
        <f>ROUND(E1501*F1501,2)</f>
        <v>0</v>
      </c>
      <c r="H1501" s="97">
        <v>0</v>
      </c>
    </row>
    <row r="1502" spans="1:8" s="70" customFormat="1" ht="15.95" hidden="1" customHeight="1">
      <c r="A1502" s="93"/>
      <c r="B1502" s="93"/>
      <c r="C1502" s="94"/>
      <c r="D1502" s="95"/>
      <c r="E1502" s="95"/>
      <c r="F1502" s="95"/>
      <c r="G1502" s="95">
        <f>ROUND(E1502*F1502,2)</f>
        <v>0</v>
      </c>
      <c r="H1502" s="97">
        <v>0</v>
      </c>
    </row>
    <row r="1503" spans="1:8" s="70" customFormat="1" ht="15.95" hidden="1" customHeight="1">
      <c r="A1503" s="90" t="s">
        <v>733</v>
      </c>
      <c r="B1503" s="90" t="s">
        <v>733</v>
      </c>
      <c r="C1503" s="91" t="s">
        <v>734</v>
      </c>
      <c r="D1503" s="82"/>
      <c r="E1503" s="82"/>
      <c r="F1503" s="82"/>
      <c r="G1503" s="82">
        <f>SUM(G1504:G1506)</f>
        <v>0</v>
      </c>
      <c r="H1503" s="97"/>
    </row>
    <row r="1504" spans="1:8" s="70" customFormat="1" ht="15.95" hidden="1" customHeight="1">
      <c r="A1504" s="93"/>
      <c r="B1504" s="93"/>
      <c r="C1504" s="94"/>
      <c r="D1504" s="95"/>
      <c r="E1504" s="95"/>
      <c r="F1504" s="95"/>
      <c r="G1504" s="95">
        <f>ROUND(E1504*F1504,2)</f>
        <v>0</v>
      </c>
      <c r="H1504" s="97">
        <v>0</v>
      </c>
    </row>
    <row r="1505" spans="1:8" s="70" customFormat="1" ht="15.95" hidden="1" customHeight="1">
      <c r="A1505" s="93"/>
      <c r="B1505" s="93"/>
      <c r="C1505" s="94"/>
      <c r="D1505" s="95"/>
      <c r="E1505" s="95"/>
      <c r="F1505" s="95"/>
      <c r="G1505" s="95">
        <f>ROUND(E1505*F1505,2)</f>
        <v>0</v>
      </c>
      <c r="H1505" s="97">
        <v>0</v>
      </c>
    </row>
    <row r="1506" spans="1:8" s="70" customFormat="1" ht="15.95" hidden="1" customHeight="1">
      <c r="A1506" s="93"/>
      <c r="B1506" s="93"/>
      <c r="C1506" s="94"/>
      <c r="D1506" s="95"/>
      <c r="E1506" s="95"/>
      <c r="F1506" s="95"/>
      <c r="G1506" s="95">
        <f>ROUND(E1506*F1506,2)</f>
        <v>0</v>
      </c>
      <c r="H1506" s="97">
        <v>0</v>
      </c>
    </row>
    <row r="1507" spans="1:8" s="70" customFormat="1" ht="15.95" hidden="1" customHeight="1">
      <c r="A1507" s="90" t="s">
        <v>735</v>
      </c>
      <c r="B1507" s="90" t="s">
        <v>735</v>
      </c>
      <c r="C1507" s="91" t="s">
        <v>736</v>
      </c>
      <c r="D1507" s="82"/>
      <c r="E1507" s="82"/>
      <c r="F1507" s="82"/>
      <c r="G1507" s="82">
        <f>SUM(G1508:G1510)</f>
        <v>0</v>
      </c>
      <c r="H1507" s="97"/>
    </row>
    <row r="1508" spans="1:8" s="70" customFormat="1" ht="15.95" hidden="1" customHeight="1">
      <c r="A1508" s="93"/>
      <c r="B1508" s="93"/>
      <c r="C1508" s="94"/>
      <c r="D1508" s="95"/>
      <c r="E1508" s="95"/>
      <c r="F1508" s="95"/>
      <c r="G1508" s="95">
        <f>ROUND(E1508*F1508,2)</f>
        <v>0</v>
      </c>
      <c r="H1508" s="97">
        <v>0</v>
      </c>
    </row>
    <row r="1509" spans="1:8" s="70" customFormat="1" ht="15.95" hidden="1" customHeight="1">
      <c r="A1509" s="93"/>
      <c r="B1509" s="93"/>
      <c r="C1509" s="94"/>
      <c r="D1509" s="95"/>
      <c r="E1509" s="95"/>
      <c r="F1509" s="95"/>
      <c r="G1509" s="95">
        <f>ROUND(E1509*F1509,2)</f>
        <v>0</v>
      </c>
      <c r="H1509" s="97">
        <v>0</v>
      </c>
    </row>
    <row r="1510" spans="1:8" s="70" customFormat="1" ht="15.95" hidden="1" customHeight="1">
      <c r="A1510" s="93"/>
      <c r="B1510" s="93"/>
      <c r="C1510" s="94"/>
      <c r="D1510" s="95"/>
      <c r="E1510" s="95"/>
      <c r="F1510" s="95"/>
      <c r="G1510" s="95">
        <f>ROUND(E1510*F1510,2)</f>
        <v>0</v>
      </c>
      <c r="H1510" s="97">
        <v>0</v>
      </c>
    </row>
    <row r="1511" spans="1:8" s="70" customFormat="1" ht="15.95" hidden="1" customHeight="1">
      <c r="A1511" s="90" t="s">
        <v>737</v>
      </c>
      <c r="B1511" s="90" t="s">
        <v>737</v>
      </c>
      <c r="C1511" s="91" t="s">
        <v>738</v>
      </c>
      <c r="D1511" s="82"/>
      <c r="E1511" s="82"/>
      <c r="F1511" s="82"/>
      <c r="G1511" s="82">
        <f>SUM(G1512:G1514)</f>
        <v>0</v>
      </c>
      <c r="H1511" s="97"/>
    </row>
    <row r="1512" spans="1:8" s="70" customFormat="1" ht="15.95" hidden="1" customHeight="1">
      <c r="A1512" s="93"/>
      <c r="B1512" s="93"/>
      <c r="C1512" s="94"/>
      <c r="D1512" s="95"/>
      <c r="E1512" s="95"/>
      <c r="F1512" s="95"/>
      <c r="G1512" s="95">
        <f>ROUND(E1512*F1512,2)</f>
        <v>0</v>
      </c>
      <c r="H1512" s="97">
        <v>0</v>
      </c>
    </row>
    <row r="1513" spans="1:8" s="70" customFormat="1" ht="15.95" hidden="1" customHeight="1">
      <c r="A1513" s="93"/>
      <c r="B1513" s="93"/>
      <c r="C1513" s="94"/>
      <c r="D1513" s="95"/>
      <c r="E1513" s="95"/>
      <c r="F1513" s="95"/>
      <c r="G1513" s="95">
        <f>ROUND(E1513*F1513,2)</f>
        <v>0</v>
      </c>
      <c r="H1513" s="97">
        <v>0</v>
      </c>
    </row>
    <row r="1514" spans="1:8" s="70" customFormat="1" ht="15.95" hidden="1" customHeight="1">
      <c r="A1514" s="93"/>
      <c r="B1514" s="93"/>
      <c r="C1514" s="94"/>
      <c r="D1514" s="95"/>
      <c r="E1514" s="95"/>
      <c r="F1514" s="95"/>
      <c r="G1514" s="95">
        <f>ROUND(E1514*F1514,2)</f>
        <v>0</v>
      </c>
      <c r="H1514" s="97">
        <v>0</v>
      </c>
    </row>
    <row r="1515" spans="1:8" s="70" customFormat="1" ht="15.95" hidden="1" customHeight="1">
      <c r="A1515" s="90" t="s">
        <v>739</v>
      </c>
      <c r="B1515" s="90" t="s">
        <v>739</v>
      </c>
      <c r="C1515" s="91" t="s">
        <v>740</v>
      </c>
      <c r="D1515" s="82"/>
      <c r="E1515" s="82"/>
      <c r="F1515" s="82"/>
      <c r="G1515" s="82">
        <f>SUM(G1516:G1518)</f>
        <v>0</v>
      </c>
      <c r="H1515" s="97"/>
    </row>
    <row r="1516" spans="1:8" s="70" customFormat="1" ht="15.95" hidden="1" customHeight="1">
      <c r="A1516" s="93"/>
      <c r="B1516" s="93"/>
      <c r="C1516" s="94"/>
      <c r="D1516" s="95"/>
      <c r="E1516" s="95"/>
      <c r="F1516" s="95"/>
      <c r="G1516" s="95">
        <f>ROUND(E1516*F1516,2)</f>
        <v>0</v>
      </c>
      <c r="H1516" s="97">
        <v>0</v>
      </c>
    </row>
    <row r="1517" spans="1:8" s="70" customFormat="1" ht="15.95" hidden="1" customHeight="1">
      <c r="A1517" s="93"/>
      <c r="B1517" s="93"/>
      <c r="C1517" s="94"/>
      <c r="D1517" s="95"/>
      <c r="E1517" s="95"/>
      <c r="F1517" s="95"/>
      <c r="G1517" s="95">
        <f>ROUND(E1517*F1517,2)</f>
        <v>0</v>
      </c>
      <c r="H1517" s="97">
        <v>0</v>
      </c>
    </row>
    <row r="1518" spans="1:8" s="70" customFormat="1" ht="15.95" hidden="1" customHeight="1">
      <c r="A1518" s="93"/>
      <c r="B1518" s="93"/>
      <c r="C1518" s="94"/>
      <c r="D1518" s="95"/>
      <c r="E1518" s="95"/>
      <c r="F1518" s="95"/>
      <c r="G1518" s="95">
        <f>ROUND(E1518*F1518,2)</f>
        <v>0</v>
      </c>
      <c r="H1518" s="97">
        <v>0</v>
      </c>
    </row>
    <row r="1519" spans="1:8" s="70" customFormat="1" ht="15.95" hidden="1" customHeight="1">
      <c r="A1519" s="90" t="s">
        <v>741</v>
      </c>
      <c r="B1519" s="90" t="s">
        <v>741</v>
      </c>
      <c r="C1519" s="91" t="s">
        <v>742</v>
      </c>
      <c r="D1519" s="82"/>
      <c r="E1519" s="82"/>
      <c r="F1519" s="82"/>
      <c r="G1519" s="82">
        <f>SUM(G1520:G1522)</f>
        <v>0</v>
      </c>
      <c r="H1519" s="97"/>
    </row>
    <row r="1520" spans="1:8" s="70" customFormat="1" ht="15.95" hidden="1" customHeight="1">
      <c r="A1520" s="93"/>
      <c r="B1520" s="93"/>
      <c r="C1520" s="94"/>
      <c r="D1520" s="95"/>
      <c r="E1520" s="95"/>
      <c r="F1520" s="95"/>
      <c r="G1520" s="95">
        <f>ROUND(E1520*F1520,2)</f>
        <v>0</v>
      </c>
      <c r="H1520" s="97">
        <v>0</v>
      </c>
    </row>
    <row r="1521" spans="1:8" s="70" customFormat="1" ht="15.95" hidden="1" customHeight="1">
      <c r="A1521" s="93"/>
      <c r="B1521" s="93"/>
      <c r="C1521" s="94"/>
      <c r="D1521" s="95"/>
      <c r="E1521" s="95"/>
      <c r="F1521" s="95"/>
      <c r="G1521" s="95">
        <f>ROUND(E1521*F1521,2)</f>
        <v>0</v>
      </c>
      <c r="H1521" s="97">
        <v>0</v>
      </c>
    </row>
    <row r="1522" spans="1:8" s="70" customFormat="1" ht="15.95" hidden="1" customHeight="1">
      <c r="A1522" s="93"/>
      <c r="B1522" s="93"/>
      <c r="C1522" s="94"/>
      <c r="D1522" s="95"/>
      <c r="E1522" s="95"/>
      <c r="F1522" s="95"/>
      <c r="G1522" s="95">
        <f>ROUND(E1522*F1522,2)</f>
        <v>0</v>
      </c>
      <c r="H1522" s="97">
        <v>0</v>
      </c>
    </row>
    <row r="1523" spans="1:8" s="70" customFormat="1" ht="15.95" hidden="1" customHeight="1">
      <c r="A1523" s="90" t="s">
        <v>743</v>
      </c>
      <c r="B1523" s="90" t="s">
        <v>743</v>
      </c>
      <c r="C1523" s="91" t="s">
        <v>744</v>
      </c>
      <c r="D1523" s="82"/>
      <c r="E1523" s="82"/>
      <c r="F1523" s="82"/>
      <c r="G1523" s="82">
        <f>SUM(G1524:G1526)</f>
        <v>0</v>
      </c>
      <c r="H1523" s="97"/>
    </row>
    <row r="1524" spans="1:8" s="70" customFormat="1" ht="15.95" hidden="1" customHeight="1">
      <c r="A1524" s="93"/>
      <c r="B1524" s="93"/>
      <c r="C1524" s="94"/>
      <c r="D1524" s="95"/>
      <c r="E1524" s="95"/>
      <c r="F1524" s="95"/>
      <c r="G1524" s="95">
        <f>ROUND(E1524*F1524,2)</f>
        <v>0</v>
      </c>
      <c r="H1524" s="97">
        <v>0</v>
      </c>
    </row>
    <row r="1525" spans="1:8" s="70" customFormat="1" ht="15.95" hidden="1" customHeight="1">
      <c r="A1525" s="93"/>
      <c r="B1525" s="93"/>
      <c r="C1525" s="94"/>
      <c r="D1525" s="95"/>
      <c r="E1525" s="95"/>
      <c r="F1525" s="95"/>
      <c r="G1525" s="95">
        <f>ROUND(E1525*F1525,2)</f>
        <v>0</v>
      </c>
      <c r="H1525" s="97">
        <v>0</v>
      </c>
    </row>
    <row r="1526" spans="1:8" s="70" customFormat="1" ht="15.95" hidden="1" customHeight="1">
      <c r="A1526" s="93"/>
      <c r="B1526" s="93"/>
      <c r="C1526" s="94"/>
      <c r="D1526" s="95"/>
      <c r="E1526" s="95"/>
      <c r="F1526" s="95"/>
      <c r="G1526" s="95">
        <f>ROUND(E1526*F1526,2)</f>
        <v>0</v>
      </c>
      <c r="H1526" s="97">
        <v>0</v>
      </c>
    </row>
    <row r="1527" spans="1:8" s="70" customFormat="1" ht="15.95" hidden="1" customHeight="1">
      <c r="A1527" s="90" t="s">
        <v>745</v>
      </c>
      <c r="B1527" s="90" t="s">
        <v>745</v>
      </c>
      <c r="C1527" s="91" t="s">
        <v>746</v>
      </c>
      <c r="D1527" s="82"/>
      <c r="E1527" s="82"/>
      <c r="F1527" s="82"/>
      <c r="G1527" s="82">
        <f>SUM(G1528:G1530)</f>
        <v>0</v>
      </c>
      <c r="H1527" s="97"/>
    </row>
    <row r="1528" spans="1:8" s="70" customFormat="1" ht="15.95" hidden="1" customHeight="1">
      <c r="A1528" s="93"/>
      <c r="B1528" s="93"/>
      <c r="C1528" s="94"/>
      <c r="D1528" s="95"/>
      <c r="E1528" s="95"/>
      <c r="F1528" s="95"/>
      <c r="G1528" s="95">
        <f>ROUND(E1528*F1528,2)</f>
        <v>0</v>
      </c>
      <c r="H1528" s="97">
        <v>0</v>
      </c>
    </row>
    <row r="1529" spans="1:8" s="70" customFormat="1" ht="15.95" hidden="1" customHeight="1">
      <c r="A1529" s="93"/>
      <c r="B1529" s="93"/>
      <c r="C1529" s="94"/>
      <c r="D1529" s="95"/>
      <c r="E1529" s="95"/>
      <c r="F1529" s="95"/>
      <c r="G1529" s="95">
        <f>ROUND(E1529*F1529,2)</f>
        <v>0</v>
      </c>
      <c r="H1529" s="97">
        <v>0</v>
      </c>
    </row>
    <row r="1530" spans="1:8" s="70" customFormat="1" ht="15.95" hidden="1" customHeight="1">
      <c r="A1530" s="93"/>
      <c r="B1530" s="93"/>
      <c r="C1530" s="94"/>
      <c r="D1530" s="95"/>
      <c r="E1530" s="95"/>
      <c r="F1530" s="95"/>
      <c r="G1530" s="95">
        <f>ROUND(E1530*F1530,2)</f>
        <v>0</v>
      </c>
      <c r="H1530" s="97">
        <v>0</v>
      </c>
    </row>
    <row r="1531" spans="1:8" s="70" customFormat="1" ht="15.95" hidden="1" customHeight="1">
      <c r="A1531" s="90" t="s">
        <v>747</v>
      </c>
      <c r="B1531" s="90" t="s">
        <v>747</v>
      </c>
      <c r="C1531" s="91" t="s">
        <v>748</v>
      </c>
      <c r="D1531" s="82"/>
      <c r="E1531" s="82"/>
      <c r="F1531" s="82"/>
      <c r="G1531" s="82">
        <f>SUM(G1532:G1534)</f>
        <v>0</v>
      </c>
      <c r="H1531" s="97"/>
    </row>
    <row r="1532" spans="1:8" s="70" customFormat="1" ht="15.95" hidden="1" customHeight="1">
      <c r="A1532" s="93"/>
      <c r="B1532" s="93"/>
      <c r="C1532" s="94"/>
      <c r="D1532" s="95"/>
      <c r="E1532" s="95"/>
      <c r="F1532" s="95"/>
      <c r="G1532" s="95">
        <f>ROUND(E1532*F1532,2)</f>
        <v>0</v>
      </c>
      <c r="H1532" s="97">
        <v>0</v>
      </c>
    </row>
    <row r="1533" spans="1:8" s="70" customFormat="1" ht="15.95" hidden="1" customHeight="1">
      <c r="A1533" s="93"/>
      <c r="B1533" s="93"/>
      <c r="C1533" s="94"/>
      <c r="D1533" s="95"/>
      <c r="E1533" s="95"/>
      <c r="F1533" s="95"/>
      <c r="G1533" s="95">
        <f>ROUND(E1533*F1533,2)</f>
        <v>0</v>
      </c>
      <c r="H1533" s="97">
        <v>0</v>
      </c>
    </row>
    <row r="1534" spans="1:8" s="69" customFormat="1" ht="15.95" hidden="1" customHeight="1">
      <c r="A1534" s="93"/>
      <c r="B1534" s="93"/>
      <c r="C1534" s="94"/>
      <c r="D1534" s="95"/>
      <c r="E1534" s="95"/>
      <c r="F1534" s="95"/>
      <c r="G1534" s="95">
        <f>ROUND(E1534*F1534,2)</f>
        <v>0</v>
      </c>
      <c r="H1534" s="97">
        <v>0</v>
      </c>
    </row>
    <row r="1535" spans="1:8" s="71" customFormat="1" ht="15.95" hidden="1" customHeight="1">
      <c r="A1535" s="90" t="s">
        <v>749</v>
      </c>
      <c r="B1535" s="90" t="s">
        <v>749</v>
      </c>
      <c r="C1535" s="91" t="s">
        <v>750</v>
      </c>
      <c r="D1535" s="82"/>
      <c r="E1535" s="82"/>
      <c r="F1535" s="82"/>
      <c r="G1535" s="82">
        <f>SUM(G1536:G1538)</f>
        <v>0</v>
      </c>
      <c r="H1535" s="97"/>
    </row>
    <row r="1536" spans="1:8" s="71" customFormat="1" ht="15.95" hidden="1" customHeight="1">
      <c r="A1536" s="93"/>
      <c r="B1536" s="93"/>
      <c r="C1536" s="94"/>
      <c r="D1536" s="95"/>
      <c r="E1536" s="95"/>
      <c r="F1536" s="95"/>
      <c r="G1536" s="95">
        <f>ROUND(E1536*F1536,2)</f>
        <v>0</v>
      </c>
      <c r="H1536" s="96">
        <v>0</v>
      </c>
    </row>
    <row r="1537" spans="1:8" s="71" customFormat="1" ht="15.95" hidden="1" customHeight="1">
      <c r="A1537" s="93"/>
      <c r="B1537" s="93"/>
      <c r="C1537" s="94"/>
      <c r="D1537" s="95"/>
      <c r="E1537" s="95"/>
      <c r="F1537" s="95"/>
      <c r="G1537" s="95">
        <f>ROUND(E1537*F1537,2)</f>
        <v>0</v>
      </c>
      <c r="H1537" s="96">
        <v>0</v>
      </c>
    </row>
    <row r="1538" spans="1:8" s="69" customFormat="1" ht="15.95" hidden="1" customHeight="1">
      <c r="A1538" s="93"/>
      <c r="B1538" s="93"/>
      <c r="C1538" s="94"/>
      <c r="D1538" s="95"/>
      <c r="E1538" s="95"/>
      <c r="F1538" s="95"/>
      <c r="G1538" s="95">
        <f>ROUND(E1538*F1538,2)</f>
        <v>0</v>
      </c>
      <c r="H1538" s="96">
        <v>0</v>
      </c>
    </row>
    <row r="1539" spans="1:8" s="71" customFormat="1" ht="15.95" hidden="1" customHeight="1">
      <c r="A1539" s="90" t="s">
        <v>751</v>
      </c>
      <c r="B1539" s="90" t="s">
        <v>751</v>
      </c>
      <c r="C1539" s="91" t="s">
        <v>752</v>
      </c>
      <c r="D1539" s="82"/>
      <c r="E1539" s="82"/>
      <c r="F1539" s="82"/>
      <c r="G1539" s="82">
        <f>SUM(G1540:G1542)</f>
        <v>0</v>
      </c>
      <c r="H1539" s="97"/>
    </row>
    <row r="1540" spans="1:8" s="71" customFormat="1" ht="15.95" hidden="1" customHeight="1">
      <c r="A1540" s="93"/>
      <c r="B1540" s="93"/>
      <c r="C1540" s="94"/>
      <c r="D1540" s="95"/>
      <c r="E1540" s="95"/>
      <c r="F1540" s="95"/>
      <c r="G1540" s="95">
        <f>ROUND(E1540*F1540,2)</f>
        <v>0</v>
      </c>
      <c r="H1540" s="96">
        <v>0</v>
      </c>
    </row>
    <row r="1541" spans="1:8" s="71" customFormat="1" ht="15.95" hidden="1" customHeight="1">
      <c r="A1541" s="93"/>
      <c r="B1541" s="93"/>
      <c r="C1541" s="94"/>
      <c r="D1541" s="95"/>
      <c r="E1541" s="95"/>
      <c r="F1541" s="95"/>
      <c r="G1541" s="95">
        <f>ROUND(E1541*F1541,2)</f>
        <v>0</v>
      </c>
      <c r="H1541" s="96">
        <v>0</v>
      </c>
    </row>
    <row r="1542" spans="1:8" s="69" customFormat="1" ht="15.95" hidden="1" customHeight="1">
      <c r="A1542" s="93"/>
      <c r="B1542" s="93"/>
      <c r="C1542" s="94"/>
      <c r="D1542" s="95"/>
      <c r="E1542" s="95"/>
      <c r="F1542" s="95"/>
      <c r="G1542" s="95">
        <f>ROUND(E1542*F1542,2)</f>
        <v>0</v>
      </c>
      <c r="H1542" s="96">
        <v>0</v>
      </c>
    </row>
    <row r="1543" spans="1:8" s="71" customFormat="1" ht="15.95" hidden="1" customHeight="1">
      <c r="A1543" s="90" t="s">
        <v>753</v>
      </c>
      <c r="B1543" s="90" t="s">
        <v>753</v>
      </c>
      <c r="C1543" s="91" t="s">
        <v>754</v>
      </c>
      <c r="D1543" s="82"/>
      <c r="E1543" s="82"/>
      <c r="F1543" s="82"/>
      <c r="G1543" s="82">
        <f>SUM(G1544:G1546)</f>
        <v>0</v>
      </c>
      <c r="H1543" s="97"/>
    </row>
    <row r="1544" spans="1:8" s="71" customFormat="1" ht="15.95" hidden="1" customHeight="1">
      <c r="A1544" s="93"/>
      <c r="B1544" s="93"/>
      <c r="C1544" s="94"/>
      <c r="D1544" s="95"/>
      <c r="E1544" s="95"/>
      <c r="F1544" s="95"/>
      <c r="G1544" s="95">
        <f>ROUND(E1544*F1544,2)</f>
        <v>0</v>
      </c>
      <c r="H1544" s="96">
        <v>0</v>
      </c>
    </row>
    <row r="1545" spans="1:8" s="71" customFormat="1" ht="15.95" hidden="1" customHeight="1">
      <c r="A1545" s="93"/>
      <c r="B1545" s="93"/>
      <c r="C1545" s="94"/>
      <c r="D1545" s="95"/>
      <c r="E1545" s="95"/>
      <c r="F1545" s="95"/>
      <c r="G1545" s="95">
        <f>ROUND(E1545*F1545,2)</f>
        <v>0</v>
      </c>
      <c r="H1545" s="96">
        <v>0</v>
      </c>
    </row>
    <row r="1546" spans="1:8" s="69" customFormat="1" ht="15.95" hidden="1" customHeight="1">
      <c r="A1546" s="93"/>
      <c r="B1546" s="93"/>
      <c r="C1546" s="94"/>
      <c r="D1546" s="95"/>
      <c r="E1546" s="95"/>
      <c r="F1546" s="95"/>
      <c r="G1546" s="95">
        <f>ROUND(E1546*F1546,2)</f>
        <v>0</v>
      </c>
      <c r="H1546" s="96">
        <v>0</v>
      </c>
    </row>
    <row r="1547" spans="1:8" s="71" customFormat="1" ht="15.95" hidden="1" customHeight="1">
      <c r="A1547" s="90" t="s">
        <v>755</v>
      </c>
      <c r="B1547" s="90" t="s">
        <v>755</v>
      </c>
      <c r="C1547" s="91" t="s">
        <v>756</v>
      </c>
      <c r="D1547" s="82"/>
      <c r="E1547" s="82"/>
      <c r="F1547" s="82"/>
      <c r="G1547" s="82">
        <f>SUM(G1548:G1550)</f>
        <v>0</v>
      </c>
      <c r="H1547" s="97"/>
    </row>
    <row r="1548" spans="1:8" s="71" customFormat="1" ht="15.95" hidden="1" customHeight="1">
      <c r="A1548" s="93"/>
      <c r="B1548" s="93"/>
      <c r="C1548" s="94"/>
      <c r="D1548" s="95"/>
      <c r="E1548" s="95"/>
      <c r="F1548" s="95"/>
      <c r="G1548" s="95">
        <f>ROUND(E1548*F1548,2)</f>
        <v>0</v>
      </c>
      <c r="H1548" s="96">
        <v>0</v>
      </c>
    </row>
    <row r="1549" spans="1:8" s="71" customFormat="1" ht="15.95" hidden="1" customHeight="1">
      <c r="A1549" s="93"/>
      <c r="B1549" s="93"/>
      <c r="C1549" s="94"/>
      <c r="D1549" s="95"/>
      <c r="E1549" s="95"/>
      <c r="F1549" s="95"/>
      <c r="G1549" s="95">
        <f>ROUND(E1549*F1549,2)</f>
        <v>0</v>
      </c>
      <c r="H1549" s="96">
        <v>0</v>
      </c>
    </row>
    <row r="1550" spans="1:8" s="69" customFormat="1" ht="15.95" hidden="1" customHeight="1">
      <c r="A1550" s="93"/>
      <c r="B1550" s="93"/>
      <c r="C1550" s="94"/>
      <c r="D1550" s="95"/>
      <c r="E1550" s="95"/>
      <c r="F1550" s="95"/>
      <c r="G1550" s="95">
        <f>ROUND(E1550*F1550,2)</f>
        <v>0</v>
      </c>
      <c r="H1550" s="96">
        <v>0</v>
      </c>
    </row>
    <row r="1551" spans="1:8" s="71" customFormat="1" ht="15.95" hidden="1" customHeight="1">
      <c r="A1551" s="90" t="s">
        <v>757</v>
      </c>
      <c r="B1551" s="90" t="s">
        <v>757</v>
      </c>
      <c r="C1551" s="91" t="s">
        <v>758</v>
      </c>
      <c r="D1551" s="82"/>
      <c r="E1551" s="82"/>
      <c r="F1551" s="82"/>
      <c r="G1551" s="82">
        <f>SUM(G1552:G1554)</f>
        <v>0</v>
      </c>
      <c r="H1551" s="97"/>
    </row>
    <row r="1552" spans="1:8" s="71" customFormat="1" ht="15.95" hidden="1" customHeight="1">
      <c r="A1552" s="93"/>
      <c r="B1552" s="93"/>
      <c r="C1552" s="94"/>
      <c r="D1552" s="95"/>
      <c r="E1552" s="95"/>
      <c r="F1552" s="95"/>
      <c r="G1552" s="95">
        <f>ROUND(E1552*F1552,2)</f>
        <v>0</v>
      </c>
      <c r="H1552" s="96">
        <v>0</v>
      </c>
    </row>
    <row r="1553" spans="1:8" s="71" customFormat="1" ht="15.95" hidden="1" customHeight="1">
      <c r="A1553" s="93"/>
      <c r="B1553" s="93"/>
      <c r="C1553" s="94"/>
      <c r="D1553" s="95"/>
      <c r="E1553" s="95"/>
      <c r="F1553" s="95"/>
      <c r="G1553" s="95">
        <f>ROUND(E1553*F1553,2)</f>
        <v>0</v>
      </c>
      <c r="H1553" s="96">
        <v>0</v>
      </c>
    </row>
    <row r="1554" spans="1:8" s="69" customFormat="1" ht="15.95" hidden="1" customHeight="1">
      <c r="A1554" s="93"/>
      <c r="B1554" s="93"/>
      <c r="C1554" s="94"/>
      <c r="D1554" s="95"/>
      <c r="E1554" s="95"/>
      <c r="F1554" s="95"/>
      <c r="G1554" s="95">
        <f>ROUND(E1554*F1554,2)</f>
        <v>0</v>
      </c>
      <c r="H1554" s="96">
        <v>0</v>
      </c>
    </row>
    <row r="1555" spans="1:8" s="70" customFormat="1" ht="15.95" hidden="1" customHeight="1">
      <c r="A1555" s="83"/>
      <c r="B1555" s="83"/>
      <c r="C1555" s="84" t="s">
        <v>759</v>
      </c>
      <c r="D1555" s="85"/>
      <c r="E1555" s="85"/>
      <c r="F1555" s="85"/>
      <c r="G1555" s="85"/>
      <c r="H1555" s="97"/>
    </row>
    <row r="1556" spans="1:8" s="70" customFormat="1" ht="15.95" hidden="1" customHeight="1">
      <c r="A1556" s="106" t="s">
        <v>760</v>
      </c>
      <c r="B1556" s="106" t="s">
        <v>760</v>
      </c>
      <c r="C1556" s="88" t="s">
        <v>761</v>
      </c>
      <c r="D1556" s="89"/>
      <c r="E1556" s="89"/>
      <c r="F1556" s="89"/>
      <c r="G1556" s="89">
        <f>SG_19_01+SG_19_02+SG_19_03+SG_19_04+SG_19_05+SG_19_06+SG_19_07+SG_19_08+SG_19_09+SG_19_10+SG_19_11+SG_19_12+SG_19_13+SG_19_14+SG_19_15+SG_19_16+SG_19_17+SG_19_18+SG_19_19+SG_19_20</f>
        <v>0</v>
      </c>
      <c r="H1556" s="97"/>
    </row>
    <row r="1557" spans="1:8" s="70" customFormat="1" ht="15.95" hidden="1" customHeight="1">
      <c r="A1557" s="90" t="s">
        <v>762</v>
      </c>
      <c r="B1557" s="90" t="s">
        <v>762</v>
      </c>
      <c r="C1557" s="91" t="s">
        <v>763</v>
      </c>
      <c r="D1557" s="82"/>
      <c r="E1557" s="82"/>
      <c r="F1557" s="82"/>
      <c r="G1557" s="82">
        <f>SUM(G1558:G1560)</f>
        <v>0</v>
      </c>
      <c r="H1557" s="97"/>
    </row>
    <row r="1558" spans="1:8" s="70" customFormat="1" ht="15.95" hidden="1" customHeight="1">
      <c r="A1558" s="93"/>
      <c r="B1558" s="93"/>
      <c r="C1558" s="94"/>
      <c r="D1558" s="95"/>
      <c r="E1558" s="95"/>
      <c r="F1558" s="95"/>
      <c r="G1558" s="95">
        <f>ROUND(E1558*F1558,2)</f>
        <v>0</v>
      </c>
      <c r="H1558" s="97">
        <v>0</v>
      </c>
    </row>
    <row r="1559" spans="1:8" s="70" customFormat="1" ht="15.95" hidden="1" customHeight="1">
      <c r="A1559" s="93"/>
      <c r="B1559" s="93"/>
      <c r="C1559" s="94"/>
      <c r="D1559" s="95"/>
      <c r="E1559" s="95"/>
      <c r="F1559" s="95"/>
      <c r="G1559" s="95">
        <f>ROUND(E1559*F1559,2)</f>
        <v>0</v>
      </c>
      <c r="H1559" s="97">
        <v>0</v>
      </c>
    </row>
    <row r="1560" spans="1:8" s="70" customFormat="1" ht="15.95" hidden="1" customHeight="1">
      <c r="A1560" s="93"/>
      <c r="B1560" s="93"/>
      <c r="C1560" s="94"/>
      <c r="D1560" s="95"/>
      <c r="E1560" s="95"/>
      <c r="F1560" s="95"/>
      <c r="G1560" s="95">
        <f>ROUND(E1560*F1560,2)</f>
        <v>0</v>
      </c>
      <c r="H1560" s="97">
        <v>0</v>
      </c>
    </row>
    <row r="1561" spans="1:8" s="70" customFormat="1" ht="15.95" hidden="1" customHeight="1">
      <c r="A1561" s="90" t="s">
        <v>764</v>
      </c>
      <c r="B1561" s="90" t="s">
        <v>764</v>
      </c>
      <c r="C1561" s="91" t="s">
        <v>765</v>
      </c>
      <c r="D1561" s="82"/>
      <c r="E1561" s="82"/>
      <c r="F1561" s="82"/>
      <c r="G1561" s="82">
        <f>SUM(G1562:G1564)</f>
        <v>0</v>
      </c>
      <c r="H1561" s="97"/>
    </row>
    <row r="1562" spans="1:8" s="70" customFormat="1" ht="15.95" hidden="1" customHeight="1">
      <c r="A1562" s="93"/>
      <c r="B1562" s="93"/>
      <c r="C1562" s="94"/>
      <c r="D1562" s="95"/>
      <c r="E1562" s="95"/>
      <c r="F1562" s="95"/>
      <c r="G1562" s="95">
        <f>ROUND(E1562*F1562,2)</f>
        <v>0</v>
      </c>
      <c r="H1562" s="97">
        <v>0</v>
      </c>
    </row>
    <row r="1563" spans="1:8" s="70" customFormat="1" ht="15.95" hidden="1" customHeight="1">
      <c r="A1563" s="93"/>
      <c r="B1563" s="93"/>
      <c r="C1563" s="94"/>
      <c r="D1563" s="95"/>
      <c r="E1563" s="95"/>
      <c r="F1563" s="95"/>
      <c r="G1563" s="95">
        <f>ROUND(E1563*F1563,2)</f>
        <v>0</v>
      </c>
      <c r="H1563" s="97">
        <v>0</v>
      </c>
    </row>
    <row r="1564" spans="1:8" s="70" customFormat="1" ht="15.95" hidden="1" customHeight="1">
      <c r="A1564" s="93"/>
      <c r="B1564" s="93"/>
      <c r="C1564" s="94"/>
      <c r="D1564" s="95"/>
      <c r="E1564" s="95"/>
      <c r="F1564" s="95"/>
      <c r="G1564" s="95">
        <f>ROUND(E1564*F1564,2)</f>
        <v>0</v>
      </c>
      <c r="H1564" s="97">
        <v>0</v>
      </c>
    </row>
    <row r="1565" spans="1:8" s="70" customFormat="1" ht="15.95" hidden="1" customHeight="1">
      <c r="A1565" s="90" t="s">
        <v>766</v>
      </c>
      <c r="B1565" s="90" t="s">
        <v>766</v>
      </c>
      <c r="C1565" s="91" t="s">
        <v>767</v>
      </c>
      <c r="D1565" s="82"/>
      <c r="E1565" s="82"/>
      <c r="F1565" s="82"/>
      <c r="G1565" s="82">
        <f>SUM(G1566:G1568)</f>
        <v>0</v>
      </c>
      <c r="H1565" s="97"/>
    </row>
    <row r="1566" spans="1:8" s="70" customFormat="1" ht="15.95" hidden="1" customHeight="1">
      <c r="A1566" s="93"/>
      <c r="B1566" s="93"/>
      <c r="C1566" s="94"/>
      <c r="D1566" s="95"/>
      <c r="E1566" s="95"/>
      <c r="F1566" s="95"/>
      <c r="G1566" s="95">
        <f>ROUND(E1566*F1566,2)</f>
        <v>0</v>
      </c>
      <c r="H1566" s="97">
        <v>0</v>
      </c>
    </row>
    <row r="1567" spans="1:8" s="70" customFormat="1" ht="15.95" hidden="1" customHeight="1">
      <c r="A1567" s="93"/>
      <c r="B1567" s="93"/>
      <c r="C1567" s="94"/>
      <c r="D1567" s="95"/>
      <c r="E1567" s="95"/>
      <c r="F1567" s="95"/>
      <c r="G1567" s="95">
        <f>ROUND(E1567*F1567,2)</f>
        <v>0</v>
      </c>
      <c r="H1567" s="97">
        <v>0</v>
      </c>
    </row>
    <row r="1568" spans="1:8" s="70" customFormat="1" ht="15.95" hidden="1" customHeight="1">
      <c r="A1568" s="93"/>
      <c r="B1568" s="93"/>
      <c r="C1568" s="94"/>
      <c r="D1568" s="95"/>
      <c r="E1568" s="95"/>
      <c r="F1568" s="95"/>
      <c r="G1568" s="95">
        <f>ROUND(E1568*F1568,2)</f>
        <v>0</v>
      </c>
      <c r="H1568" s="97">
        <v>0</v>
      </c>
    </row>
    <row r="1569" spans="1:8" s="70" customFormat="1" ht="15.95" hidden="1" customHeight="1">
      <c r="A1569" s="90" t="s">
        <v>768</v>
      </c>
      <c r="B1569" s="90" t="s">
        <v>768</v>
      </c>
      <c r="C1569" s="91" t="s">
        <v>769</v>
      </c>
      <c r="D1569" s="82"/>
      <c r="E1569" s="82"/>
      <c r="F1569" s="82"/>
      <c r="G1569" s="82">
        <f>SUM(G1570:G1572)</f>
        <v>0</v>
      </c>
      <c r="H1569" s="97"/>
    </row>
    <row r="1570" spans="1:8" s="70" customFormat="1" ht="15.95" hidden="1" customHeight="1">
      <c r="A1570" s="93"/>
      <c r="B1570" s="93"/>
      <c r="C1570" s="94"/>
      <c r="D1570" s="95"/>
      <c r="E1570" s="95"/>
      <c r="F1570" s="95"/>
      <c r="G1570" s="95">
        <f>ROUND(E1570*F1570,2)</f>
        <v>0</v>
      </c>
      <c r="H1570" s="97">
        <v>0</v>
      </c>
    </row>
    <row r="1571" spans="1:8" s="70" customFormat="1" ht="15.95" hidden="1" customHeight="1">
      <c r="A1571" s="93"/>
      <c r="B1571" s="93"/>
      <c r="C1571" s="94"/>
      <c r="D1571" s="95"/>
      <c r="E1571" s="95"/>
      <c r="F1571" s="95"/>
      <c r="G1571" s="95">
        <f>ROUND(E1571*F1571,2)</f>
        <v>0</v>
      </c>
      <c r="H1571" s="97">
        <v>0</v>
      </c>
    </row>
    <row r="1572" spans="1:8" s="70" customFormat="1" ht="15.95" hidden="1" customHeight="1">
      <c r="A1572" s="93"/>
      <c r="B1572" s="93"/>
      <c r="C1572" s="94"/>
      <c r="D1572" s="95"/>
      <c r="E1572" s="95"/>
      <c r="F1572" s="95"/>
      <c r="G1572" s="95">
        <f>ROUND(E1572*F1572,2)</f>
        <v>0</v>
      </c>
      <c r="H1572" s="97">
        <v>0</v>
      </c>
    </row>
    <row r="1573" spans="1:8" s="70" customFormat="1" ht="15.95" hidden="1" customHeight="1">
      <c r="A1573" s="90" t="s">
        <v>770</v>
      </c>
      <c r="B1573" s="90" t="s">
        <v>770</v>
      </c>
      <c r="C1573" s="91" t="s">
        <v>771</v>
      </c>
      <c r="D1573" s="82"/>
      <c r="E1573" s="82"/>
      <c r="F1573" s="82"/>
      <c r="G1573" s="82">
        <f>SUM(G1574:G1576)</f>
        <v>0</v>
      </c>
      <c r="H1573" s="97"/>
    </row>
    <row r="1574" spans="1:8" s="70" customFormat="1" ht="15.95" hidden="1" customHeight="1">
      <c r="A1574" s="93"/>
      <c r="B1574" s="93"/>
      <c r="C1574" s="94"/>
      <c r="D1574" s="95"/>
      <c r="E1574" s="95"/>
      <c r="F1574" s="95"/>
      <c r="G1574" s="95">
        <f>ROUND(E1574*F1574,2)</f>
        <v>0</v>
      </c>
      <c r="H1574" s="97">
        <v>0</v>
      </c>
    </row>
    <row r="1575" spans="1:8" s="70" customFormat="1" ht="15.95" hidden="1" customHeight="1">
      <c r="A1575" s="93"/>
      <c r="B1575" s="93"/>
      <c r="C1575" s="94"/>
      <c r="D1575" s="95"/>
      <c r="E1575" s="95"/>
      <c r="F1575" s="95"/>
      <c r="G1575" s="95">
        <f>ROUND(E1575*F1575,2)</f>
        <v>0</v>
      </c>
      <c r="H1575" s="97">
        <v>0</v>
      </c>
    </row>
    <row r="1576" spans="1:8" s="70" customFormat="1" ht="15.95" hidden="1" customHeight="1">
      <c r="A1576" s="93"/>
      <c r="B1576" s="93"/>
      <c r="C1576" s="94"/>
      <c r="D1576" s="95"/>
      <c r="E1576" s="95"/>
      <c r="F1576" s="95"/>
      <c r="G1576" s="95">
        <f>ROUND(E1576*F1576,2)</f>
        <v>0</v>
      </c>
      <c r="H1576" s="97">
        <v>0</v>
      </c>
    </row>
    <row r="1577" spans="1:8" s="70" customFormat="1" ht="15.95" hidden="1" customHeight="1">
      <c r="A1577" s="90" t="s">
        <v>772</v>
      </c>
      <c r="B1577" s="90" t="s">
        <v>772</v>
      </c>
      <c r="C1577" s="91" t="s">
        <v>773</v>
      </c>
      <c r="D1577" s="82"/>
      <c r="E1577" s="82"/>
      <c r="F1577" s="82"/>
      <c r="G1577" s="82">
        <f>SUM(G1578:G1580)</f>
        <v>0</v>
      </c>
      <c r="H1577" s="97"/>
    </row>
    <row r="1578" spans="1:8" s="70" customFormat="1" ht="15.95" hidden="1" customHeight="1">
      <c r="A1578" s="93"/>
      <c r="B1578" s="93"/>
      <c r="C1578" s="94"/>
      <c r="D1578" s="95"/>
      <c r="E1578" s="95"/>
      <c r="F1578" s="95"/>
      <c r="G1578" s="95">
        <f>ROUND(E1578*F1578,2)</f>
        <v>0</v>
      </c>
      <c r="H1578" s="97">
        <v>0</v>
      </c>
    </row>
    <row r="1579" spans="1:8" s="70" customFormat="1" ht="15.95" hidden="1" customHeight="1">
      <c r="A1579" s="93"/>
      <c r="B1579" s="93"/>
      <c r="C1579" s="94"/>
      <c r="D1579" s="95"/>
      <c r="E1579" s="95"/>
      <c r="F1579" s="95"/>
      <c r="G1579" s="95">
        <f>ROUND(E1579*F1579,2)</f>
        <v>0</v>
      </c>
      <c r="H1579" s="97">
        <v>0</v>
      </c>
    </row>
    <row r="1580" spans="1:8" s="70" customFormat="1" ht="15.95" hidden="1" customHeight="1">
      <c r="A1580" s="93"/>
      <c r="B1580" s="93"/>
      <c r="C1580" s="94"/>
      <c r="D1580" s="95"/>
      <c r="E1580" s="95"/>
      <c r="F1580" s="95"/>
      <c r="G1580" s="95">
        <f>ROUND(E1580*F1580,2)</f>
        <v>0</v>
      </c>
      <c r="H1580" s="97">
        <v>0</v>
      </c>
    </row>
    <row r="1581" spans="1:8" s="70" customFormat="1" ht="15.95" hidden="1" customHeight="1">
      <c r="A1581" s="90" t="s">
        <v>774</v>
      </c>
      <c r="B1581" s="90" t="s">
        <v>774</v>
      </c>
      <c r="C1581" s="91" t="s">
        <v>775</v>
      </c>
      <c r="D1581" s="82"/>
      <c r="E1581" s="82"/>
      <c r="F1581" s="82"/>
      <c r="G1581" s="82">
        <f>SUM(G1582:G1584)</f>
        <v>0</v>
      </c>
      <c r="H1581" s="97"/>
    </row>
    <row r="1582" spans="1:8" s="70" customFormat="1" ht="15.95" hidden="1" customHeight="1">
      <c r="A1582" s="93"/>
      <c r="B1582" s="93"/>
      <c r="C1582" s="94"/>
      <c r="D1582" s="95"/>
      <c r="E1582" s="95"/>
      <c r="F1582" s="95"/>
      <c r="G1582" s="95">
        <f>ROUND(E1582*F1582,2)</f>
        <v>0</v>
      </c>
      <c r="H1582" s="97">
        <v>0</v>
      </c>
    </row>
    <row r="1583" spans="1:8" s="70" customFormat="1" ht="15.95" hidden="1" customHeight="1">
      <c r="A1583" s="93"/>
      <c r="B1583" s="93"/>
      <c r="C1583" s="94"/>
      <c r="D1583" s="95"/>
      <c r="E1583" s="95"/>
      <c r="F1583" s="95"/>
      <c r="G1583" s="95">
        <f>ROUND(E1583*F1583,2)</f>
        <v>0</v>
      </c>
      <c r="H1583" s="97">
        <v>0</v>
      </c>
    </row>
    <row r="1584" spans="1:8" s="70" customFormat="1" ht="15.95" hidden="1" customHeight="1">
      <c r="A1584" s="93"/>
      <c r="B1584" s="93"/>
      <c r="C1584" s="94"/>
      <c r="D1584" s="95"/>
      <c r="E1584" s="95"/>
      <c r="F1584" s="95"/>
      <c r="G1584" s="95">
        <f>ROUND(E1584*F1584,2)</f>
        <v>0</v>
      </c>
      <c r="H1584" s="97">
        <v>0</v>
      </c>
    </row>
    <row r="1585" spans="1:8" s="70" customFormat="1" ht="15.95" hidden="1" customHeight="1">
      <c r="A1585" s="90" t="s">
        <v>776</v>
      </c>
      <c r="B1585" s="90" t="s">
        <v>776</v>
      </c>
      <c r="C1585" s="91" t="s">
        <v>777</v>
      </c>
      <c r="D1585" s="82"/>
      <c r="E1585" s="82"/>
      <c r="F1585" s="82"/>
      <c r="G1585" s="82">
        <f>SUM(G1586:G1588)</f>
        <v>0</v>
      </c>
      <c r="H1585" s="97"/>
    </row>
    <row r="1586" spans="1:8" s="70" customFormat="1" ht="15.95" hidden="1" customHeight="1">
      <c r="A1586" s="93"/>
      <c r="B1586" s="93"/>
      <c r="C1586" s="94"/>
      <c r="D1586" s="95"/>
      <c r="E1586" s="95"/>
      <c r="F1586" s="95"/>
      <c r="G1586" s="95">
        <f>ROUND(E1586*F1586,2)</f>
        <v>0</v>
      </c>
      <c r="H1586" s="97">
        <v>0</v>
      </c>
    </row>
    <row r="1587" spans="1:8" s="70" customFormat="1" ht="15.95" hidden="1" customHeight="1">
      <c r="A1587" s="93"/>
      <c r="B1587" s="93"/>
      <c r="C1587" s="94"/>
      <c r="D1587" s="95"/>
      <c r="E1587" s="95"/>
      <c r="F1587" s="95"/>
      <c r="G1587" s="95">
        <f>ROUND(E1587*F1587,2)</f>
        <v>0</v>
      </c>
      <c r="H1587" s="97">
        <v>0</v>
      </c>
    </row>
    <row r="1588" spans="1:8" s="70" customFormat="1" ht="15.95" hidden="1" customHeight="1">
      <c r="A1588" s="93"/>
      <c r="B1588" s="93"/>
      <c r="C1588" s="94"/>
      <c r="D1588" s="95"/>
      <c r="E1588" s="95"/>
      <c r="F1588" s="95"/>
      <c r="G1588" s="95">
        <f>ROUND(E1588*F1588,2)</f>
        <v>0</v>
      </c>
      <c r="H1588" s="97">
        <v>0</v>
      </c>
    </row>
    <row r="1589" spans="1:8" s="70" customFormat="1" ht="15.95" hidden="1" customHeight="1">
      <c r="A1589" s="90" t="s">
        <v>778</v>
      </c>
      <c r="B1589" s="90" t="s">
        <v>778</v>
      </c>
      <c r="C1589" s="91" t="s">
        <v>779</v>
      </c>
      <c r="D1589" s="82"/>
      <c r="E1589" s="82"/>
      <c r="F1589" s="82"/>
      <c r="G1589" s="82">
        <f>SUM(G1590:G1592)</f>
        <v>0</v>
      </c>
      <c r="H1589" s="97"/>
    </row>
    <row r="1590" spans="1:8" s="70" customFormat="1" ht="15.95" hidden="1" customHeight="1">
      <c r="A1590" s="93"/>
      <c r="B1590" s="93"/>
      <c r="C1590" s="94"/>
      <c r="D1590" s="95"/>
      <c r="E1590" s="95"/>
      <c r="F1590" s="95"/>
      <c r="G1590" s="95">
        <f>ROUND(E1590*F1590,2)</f>
        <v>0</v>
      </c>
      <c r="H1590" s="97">
        <v>0</v>
      </c>
    </row>
    <row r="1591" spans="1:8" s="70" customFormat="1" ht="15.95" hidden="1" customHeight="1">
      <c r="A1591" s="93"/>
      <c r="B1591" s="93"/>
      <c r="C1591" s="94"/>
      <c r="D1591" s="95"/>
      <c r="E1591" s="95"/>
      <c r="F1591" s="95"/>
      <c r="G1591" s="95">
        <f>ROUND(E1591*F1591,2)</f>
        <v>0</v>
      </c>
      <c r="H1591" s="97">
        <v>0</v>
      </c>
    </row>
    <row r="1592" spans="1:8" s="70" customFormat="1" ht="15.95" hidden="1" customHeight="1">
      <c r="A1592" s="93"/>
      <c r="B1592" s="93"/>
      <c r="C1592" s="94"/>
      <c r="D1592" s="95"/>
      <c r="E1592" s="95"/>
      <c r="F1592" s="95"/>
      <c r="G1592" s="95">
        <f>ROUND(E1592*F1592,2)</f>
        <v>0</v>
      </c>
      <c r="H1592" s="97">
        <v>0</v>
      </c>
    </row>
    <row r="1593" spans="1:8" s="70" customFormat="1" ht="15.95" hidden="1" customHeight="1">
      <c r="A1593" s="90" t="s">
        <v>780</v>
      </c>
      <c r="B1593" s="90" t="s">
        <v>780</v>
      </c>
      <c r="C1593" s="91" t="s">
        <v>781</v>
      </c>
      <c r="D1593" s="82"/>
      <c r="E1593" s="82"/>
      <c r="F1593" s="82"/>
      <c r="G1593" s="82">
        <f>SUM(G1594:G1596)</f>
        <v>0</v>
      </c>
      <c r="H1593" s="97"/>
    </row>
    <row r="1594" spans="1:8" s="70" customFormat="1" ht="15.95" hidden="1" customHeight="1">
      <c r="A1594" s="93"/>
      <c r="B1594" s="93"/>
      <c r="C1594" s="94"/>
      <c r="D1594" s="95"/>
      <c r="E1594" s="95"/>
      <c r="F1594" s="95"/>
      <c r="G1594" s="95">
        <f>ROUND(E1594*F1594,2)</f>
        <v>0</v>
      </c>
      <c r="H1594" s="97">
        <v>0</v>
      </c>
    </row>
    <row r="1595" spans="1:8" s="70" customFormat="1" ht="15.95" hidden="1" customHeight="1">
      <c r="A1595" s="93"/>
      <c r="B1595" s="93"/>
      <c r="C1595" s="94"/>
      <c r="D1595" s="95"/>
      <c r="E1595" s="95"/>
      <c r="F1595" s="95"/>
      <c r="G1595" s="95">
        <f>ROUND(E1595*F1595,2)</f>
        <v>0</v>
      </c>
      <c r="H1595" s="97">
        <v>0</v>
      </c>
    </row>
    <row r="1596" spans="1:8" s="70" customFormat="1" ht="15.95" hidden="1" customHeight="1">
      <c r="A1596" s="93"/>
      <c r="B1596" s="93"/>
      <c r="C1596" s="94"/>
      <c r="D1596" s="95"/>
      <c r="E1596" s="95"/>
      <c r="F1596" s="95"/>
      <c r="G1596" s="95">
        <f>ROUND(E1596*F1596,2)</f>
        <v>0</v>
      </c>
      <c r="H1596" s="97">
        <v>0</v>
      </c>
    </row>
    <row r="1597" spans="1:8" s="70" customFormat="1" ht="15.95" hidden="1" customHeight="1">
      <c r="A1597" s="90" t="s">
        <v>782</v>
      </c>
      <c r="B1597" s="90" t="s">
        <v>782</v>
      </c>
      <c r="C1597" s="91" t="s">
        <v>783</v>
      </c>
      <c r="D1597" s="82"/>
      <c r="E1597" s="82"/>
      <c r="F1597" s="82"/>
      <c r="G1597" s="82">
        <f>SUM(G1598:G1600)</f>
        <v>0</v>
      </c>
      <c r="H1597" s="97"/>
    </row>
    <row r="1598" spans="1:8" s="70" customFormat="1" ht="15.95" hidden="1" customHeight="1">
      <c r="A1598" s="93"/>
      <c r="B1598" s="93"/>
      <c r="C1598" s="94"/>
      <c r="D1598" s="95"/>
      <c r="E1598" s="95"/>
      <c r="F1598" s="95"/>
      <c r="G1598" s="95">
        <f>ROUND(E1598*F1598,2)</f>
        <v>0</v>
      </c>
      <c r="H1598" s="97">
        <v>0</v>
      </c>
    </row>
    <row r="1599" spans="1:8" s="70" customFormat="1" ht="15.95" hidden="1" customHeight="1">
      <c r="A1599" s="93"/>
      <c r="B1599" s="93"/>
      <c r="C1599" s="94"/>
      <c r="D1599" s="95"/>
      <c r="E1599" s="95"/>
      <c r="F1599" s="95"/>
      <c r="G1599" s="95">
        <f>ROUND(E1599*F1599,2)</f>
        <v>0</v>
      </c>
      <c r="H1599" s="97">
        <v>0</v>
      </c>
    </row>
    <row r="1600" spans="1:8" s="70" customFormat="1" ht="15.95" hidden="1" customHeight="1">
      <c r="A1600" s="93"/>
      <c r="B1600" s="93"/>
      <c r="C1600" s="94"/>
      <c r="D1600" s="95"/>
      <c r="E1600" s="95"/>
      <c r="F1600" s="95"/>
      <c r="G1600" s="95">
        <f>ROUND(E1600*F1600,2)</f>
        <v>0</v>
      </c>
      <c r="H1600" s="97">
        <v>0</v>
      </c>
    </row>
    <row r="1601" spans="1:8" s="70" customFormat="1" ht="15.95" hidden="1" customHeight="1">
      <c r="A1601" s="90" t="s">
        <v>784</v>
      </c>
      <c r="B1601" s="90" t="s">
        <v>784</v>
      </c>
      <c r="C1601" s="91" t="s">
        <v>785</v>
      </c>
      <c r="D1601" s="82"/>
      <c r="E1601" s="82"/>
      <c r="F1601" s="82"/>
      <c r="G1601" s="82">
        <f>SUM(G1602:G1604)</f>
        <v>0</v>
      </c>
      <c r="H1601" s="97"/>
    </row>
    <row r="1602" spans="1:8" s="70" customFormat="1" ht="15.95" hidden="1" customHeight="1">
      <c r="A1602" s="93"/>
      <c r="B1602" s="93"/>
      <c r="C1602" s="94"/>
      <c r="D1602" s="95"/>
      <c r="E1602" s="95"/>
      <c r="F1602" s="95"/>
      <c r="G1602" s="95">
        <f>ROUND(E1602*F1602,2)</f>
        <v>0</v>
      </c>
      <c r="H1602" s="97">
        <v>0</v>
      </c>
    </row>
    <row r="1603" spans="1:8" s="70" customFormat="1" ht="15.95" hidden="1" customHeight="1">
      <c r="A1603" s="93"/>
      <c r="B1603" s="93"/>
      <c r="C1603" s="94"/>
      <c r="D1603" s="95"/>
      <c r="E1603" s="95"/>
      <c r="F1603" s="95"/>
      <c r="G1603" s="95">
        <f>ROUND(E1603*F1603,2)</f>
        <v>0</v>
      </c>
      <c r="H1603" s="97">
        <v>0</v>
      </c>
    </row>
    <row r="1604" spans="1:8" s="70" customFormat="1" ht="15.95" hidden="1" customHeight="1">
      <c r="A1604" s="93"/>
      <c r="B1604" s="93"/>
      <c r="C1604" s="94"/>
      <c r="D1604" s="95"/>
      <c r="E1604" s="95"/>
      <c r="F1604" s="95"/>
      <c r="G1604" s="95">
        <f>ROUND(E1604*F1604,2)</f>
        <v>0</v>
      </c>
      <c r="H1604" s="97">
        <v>0</v>
      </c>
    </row>
    <row r="1605" spans="1:8" s="70" customFormat="1" ht="15.95" hidden="1" customHeight="1">
      <c r="A1605" s="90" t="s">
        <v>786</v>
      </c>
      <c r="B1605" s="90" t="s">
        <v>786</v>
      </c>
      <c r="C1605" s="91" t="s">
        <v>787</v>
      </c>
      <c r="D1605" s="82"/>
      <c r="E1605" s="82"/>
      <c r="F1605" s="82"/>
      <c r="G1605" s="82">
        <f>SUM(G1606:G1608)</f>
        <v>0</v>
      </c>
      <c r="H1605" s="97"/>
    </row>
    <row r="1606" spans="1:8" s="70" customFormat="1" ht="15.95" hidden="1" customHeight="1">
      <c r="A1606" s="93"/>
      <c r="B1606" s="93"/>
      <c r="C1606" s="94"/>
      <c r="D1606" s="95"/>
      <c r="E1606" s="95"/>
      <c r="F1606" s="95"/>
      <c r="G1606" s="95">
        <f>ROUND(E1606*F1606,2)</f>
        <v>0</v>
      </c>
      <c r="H1606" s="97">
        <v>0</v>
      </c>
    </row>
    <row r="1607" spans="1:8" s="70" customFormat="1" ht="15.95" hidden="1" customHeight="1">
      <c r="A1607" s="93"/>
      <c r="B1607" s="93"/>
      <c r="C1607" s="94"/>
      <c r="D1607" s="95"/>
      <c r="E1607" s="95"/>
      <c r="F1607" s="95"/>
      <c r="G1607" s="95">
        <f>ROUND(E1607*F1607,2)</f>
        <v>0</v>
      </c>
      <c r="H1607" s="97">
        <v>0</v>
      </c>
    </row>
    <row r="1608" spans="1:8" s="70" customFormat="1" ht="15.95" hidden="1" customHeight="1">
      <c r="A1608" s="93"/>
      <c r="B1608" s="93"/>
      <c r="C1608" s="94"/>
      <c r="D1608" s="95"/>
      <c r="E1608" s="95"/>
      <c r="F1608" s="95"/>
      <c r="G1608" s="95">
        <f>ROUND(E1608*F1608,2)</f>
        <v>0</v>
      </c>
      <c r="H1608" s="97">
        <v>0</v>
      </c>
    </row>
    <row r="1609" spans="1:8" s="70" customFormat="1" ht="15.95" hidden="1" customHeight="1">
      <c r="A1609" s="90" t="s">
        <v>788</v>
      </c>
      <c r="B1609" s="90" t="s">
        <v>788</v>
      </c>
      <c r="C1609" s="91" t="s">
        <v>789</v>
      </c>
      <c r="D1609" s="82"/>
      <c r="E1609" s="82"/>
      <c r="F1609" s="82"/>
      <c r="G1609" s="82">
        <f>SUM(G1610:G1612)</f>
        <v>0</v>
      </c>
      <c r="H1609" s="97"/>
    </row>
    <row r="1610" spans="1:8" s="70" customFormat="1" ht="15.95" hidden="1" customHeight="1">
      <c r="A1610" s="93"/>
      <c r="B1610" s="93"/>
      <c r="C1610" s="94"/>
      <c r="D1610" s="95"/>
      <c r="E1610" s="95"/>
      <c r="F1610" s="95"/>
      <c r="G1610" s="95">
        <f>ROUND(E1610*F1610,2)</f>
        <v>0</v>
      </c>
      <c r="H1610" s="97">
        <v>0</v>
      </c>
    </row>
    <row r="1611" spans="1:8" s="70" customFormat="1" ht="15.95" hidden="1" customHeight="1">
      <c r="A1611" s="93"/>
      <c r="B1611" s="93"/>
      <c r="C1611" s="94"/>
      <c r="D1611" s="95"/>
      <c r="E1611" s="95"/>
      <c r="F1611" s="95"/>
      <c r="G1611" s="95">
        <f>ROUND(E1611*F1611,2)</f>
        <v>0</v>
      </c>
      <c r="H1611" s="97">
        <v>0</v>
      </c>
    </row>
    <row r="1612" spans="1:8" s="70" customFormat="1" ht="15.95" hidden="1" customHeight="1">
      <c r="A1612" s="93"/>
      <c r="B1612" s="93"/>
      <c r="C1612" s="94"/>
      <c r="D1612" s="95"/>
      <c r="E1612" s="95"/>
      <c r="F1612" s="95"/>
      <c r="G1612" s="95">
        <f>ROUND(E1612*F1612,2)</f>
        <v>0</v>
      </c>
      <c r="H1612" s="97">
        <v>0</v>
      </c>
    </row>
    <row r="1613" spans="1:8" s="70" customFormat="1" ht="15.95" hidden="1" customHeight="1">
      <c r="A1613" s="90" t="s">
        <v>790</v>
      </c>
      <c r="B1613" s="90" t="s">
        <v>790</v>
      </c>
      <c r="C1613" s="91" t="s">
        <v>791</v>
      </c>
      <c r="D1613" s="82"/>
      <c r="E1613" s="82"/>
      <c r="F1613" s="82"/>
      <c r="G1613" s="82">
        <f>SUM(G1614:G1616)</f>
        <v>0</v>
      </c>
      <c r="H1613" s="97"/>
    </row>
    <row r="1614" spans="1:8" s="70" customFormat="1" ht="15.95" hidden="1" customHeight="1">
      <c r="A1614" s="93"/>
      <c r="B1614" s="93"/>
      <c r="C1614" s="94"/>
      <c r="D1614" s="95"/>
      <c r="E1614" s="95"/>
      <c r="F1614" s="95"/>
      <c r="G1614" s="95">
        <f>ROUND(E1614*F1614,2)</f>
        <v>0</v>
      </c>
      <c r="H1614" s="97">
        <v>0</v>
      </c>
    </row>
    <row r="1615" spans="1:8" s="70" customFormat="1" ht="15.95" hidden="1" customHeight="1">
      <c r="A1615" s="93"/>
      <c r="B1615" s="93"/>
      <c r="C1615" s="94"/>
      <c r="D1615" s="95"/>
      <c r="E1615" s="95"/>
      <c r="F1615" s="95"/>
      <c r="G1615" s="95">
        <f>ROUND(E1615*F1615,2)</f>
        <v>0</v>
      </c>
      <c r="H1615" s="97">
        <v>0</v>
      </c>
    </row>
    <row r="1616" spans="1:8" s="69" customFormat="1" ht="15.95" hidden="1" customHeight="1">
      <c r="A1616" s="93"/>
      <c r="B1616" s="93"/>
      <c r="C1616" s="94"/>
      <c r="D1616" s="95"/>
      <c r="E1616" s="95"/>
      <c r="F1616" s="95"/>
      <c r="G1616" s="95">
        <f>ROUND(E1616*F1616,2)</f>
        <v>0</v>
      </c>
      <c r="H1616" s="97">
        <v>0</v>
      </c>
    </row>
    <row r="1617" spans="1:8" s="71" customFormat="1" ht="15.95" hidden="1" customHeight="1">
      <c r="A1617" s="90" t="s">
        <v>792</v>
      </c>
      <c r="B1617" s="90" t="s">
        <v>792</v>
      </c>
      <c r="C1617" s="91" t="s">
        <v>793</v>
      </c>
      <c r="D1617" s="82"/>
      <c r="E1617" s="82"/>
      <c r="F1617" s="82"/>
      <c r="G1617" s="82">
        <f>SUM(G1618:G1620)</f>
        <v>0</v>
      </c>
      <c r="H1617" s="97"/>
    </row>
    <row r="1618" spans="1:8" s="71" customFormat="1" ht="15.95" hidden="1" customHeight="1">
      <c r="A1618" s="93"/>
      <c r="B1618" s="93"/>
      <c r="C1618" s="94"/>
      <c r="D1618" s="95"/>
      <c r="E1618" s="95"/>
      <c r="F1618" s="95"/>
      <c r="G1618" s="95">
        <f>ROUND(E1618*F1618,2)</f>
        <v>0</v>
      </c>
      <c r="H1618" s="96">
        <v>0</v>
      </c>
    </row>
    <row r="1619" spans="1:8" s="71" customFormat="1" ht="15.95" hidden="1" customHeight="1">
      <c r="A1619" s="93"/>
      <c r="B1619" s="93"/>
      <c r="C1619" s="94"/>
      <c r="D1619" s="95"/>
      <c r="E1619" s="95"/>
      <c r="F1619" s="95"/>
      <c r="G1619" s="95">
        <f>ROUND(E1619*F1619,2)</f>
        <v>0</v>
      </c>
      <c r="H1619" s="96">
        <v>0</v>
      </c>
    </row>
    <row r="1620" spans="1:8" s="69" customFormat="1" ht="15.95" hidden="1" customHeight="1">
      <c r="A1620" s="93"/>
      <c r="B1620" s="93"/>
      <c r="C1620" s="94"/>
      <c r="D1620" s="95"/>
      <c r="E1620" s="95"/>
      <c r="F1620" s="95"/>
      <c r="G1620" s="95">
        <f>ROUND(E1620*F1620,2)</f>
        <v>0</v>
      </c>
      <c r="H1620" s="96">
        <v>0</v>
      </c>
    </row>
    <row r="1621" spans="1:8" s="71" customFormat="1" ht="15.95" hidden="1" customHeight="1">
      <c r="A1621" s="90" t="s">
        <v>794</v>
      </c>
      <c r="B1621" s="90" t="s">
        <v>794</v>
      </c>
      <c r="C1621" s="91" t="s">
        <v>795</v>
      </c>
      <c r="D1621" s="82"/>
      <c r="E1621" s="82"/>
      <c r="F1621" s="82"/>
      <c r="G1621" s="82">
        <f>SUM(G1622:G1624)</f>
        <v>0</v>
      </c>
      <c r="H1621" s="97"/>
    </row>
    <row r="1622" spans="1:8" s="71" customFormat="1" ht="15.95" hidden="1" customHeight="1">
      <c r="A1622" s="93"/>
      <c r="B1622" s="93"/>
      <c r="C1622" s="94"/>
      <c r="D1622" s="95"/>
      <c r="E1622" s="95"/>
      <c r="F1622" s="95"/>
      <c r="G1622" s="95">
        <f>ROUND(E1622*F1622,2)</f>
        <v>0</v>
      </c>
      <c r="H1622" s="96">
        <v>0</v>
      </c>
    </row>
    <row r="1623" spans="1:8" s="71" customFormat="1" ht="15.95" hidden="1" customHeight="1">
      <c r="A1623" s="93"/>
      <c r="B1623" s="93"/>
      <c r="C1623" s="94"/>
      <c r="D1623" s="95"/>
      <c r="E1623" s="95"/>
      <c r="F1623" s="95"/>
      <c r="G1623" s="95">
        <f>ROUND(E1623*F1623,2)</f>
        <v>0</v>
      </c>
      <c r="H1623" s="96">
        <v>0</v>
      </c>
    </row>
    <row r="1624" spans="1:8" s="69" customFormat="1" ht="15.95" hidden="1" customHeight="1">
      <c r="A1624" s="93"/>
      <c r="B1624" s="93"/>
      <c r="C1624" s="94"/>
      <c r="D1624" s="95"/>
      <c r="E1624" s="95"/>
      <c r="F1624" s="95"/>
      <c r="G1624" s="95">
        <f>ROUND(E1624*F1624,2)</f>
        <v>0</v>
      </c>
      <c r="H1624" s="96">
        <v>0</v>
      </c>
    </row>
    <row r="1625" spans="1:8" s="71" customFormat="1" ht="15.95" hidden="1" customHeight="1">
      <c r="A1625" s="90" t="s">
        <v>796</v>
      </c>
      <c r="B1625" s="90" t="s">
        <v>796</v>
      </c>
      <c r="C1625" s="91" t="s">
        <v>797</v>
      </c>
      <c r="D1625" s="82"/>
      <c r="E1625" s="82"/>
      <c r="F1625" s="82"/>
      <c r="G1625" s="82">
        <f>SUM(G1626:G1628)</f>
        <v>0</v>
      </c>
      <c r="H1625" s="97"/>
    </row>
    <row r="1626" spans="1:8" s="71" customFormat="1" ht="15.95" hidden="1" customHeight="1">
      <c r="A1626" s="93"/>
      <c r="B1626" s="93"/>
      <c r="C1626" s="94"/>
      <c r="D1626" s="95"/>
      <c r="E1626" s="95"/>
      <c r="F1626" s="95"/>
      <c r="G1626" s="95">
        <f>ROUND(E1626*F1626,2)</f>
        <v>0</v>
      </c>
      <c r="H1626" s="96">
        <v>0</v>
      </c>
    </row>
    <row r="1627" spans="1:8" s="71" customFormat="1" ht="15.95" hidden="1" customHeight="1">
      <c r="A1627" s="93"/>
      <c r="B1627" s="93"/>
      <c r="C1627" s="94"/>
      <c r="D1627" s="95"/>
      <c r="E1627" s="95"/>
      <c r="F1627" s="95"/>
      <c r="G1627" s="95">
        <f>ROUND(E1627*F1627,2)</f>
        <v>0</v>
      </c>
      <c r="H1627" s="96">
        <v>0</v>
      </c>
    </row>
    <row r="1628" spans="1:8" s="69" customFormat="1" ht="15.95" hidden="1" customHeight="1">
      <c r="A1628" s="93"/>
      <c r="B1628" s="93"/>
      <c r="C1628" s="94"/>
      <c r="D1628" s="95"/>
      <c r="E1628" s="95"/>
      <c r="F1628" s="95"/>
      <c r="G1628" s="95">
        <f>ROUND(E1628*F1628,2)</f>
        <v>0</v>
      </c>
      <c r="H1628" s="96">
        <v>0</v>
      </c>
    </row>
    <row r="1629" spans="1:8" s="71" customFormat="1" ht="15.95" hidden="1" customHeight="1">
      <c r="A1629" s="90" t="s">
        <v>798</v>
      </c>
      <c r="B1629" s="90" t="s">
        <v>798</v>
      </c>
      <c r="C1629" s="91" t="s">
        <v>799</v>
      </c>
      <c r="D1629" s="82"/>
      <c r="E1629" s="82"/>
      <c r="F1629" s="82"/>
      <c r="G1629" s="82">
        <f>SUM(G1630:G1632)</f>
        <v>0</v>
      </c>
      <c r="H1629" s="97"/>
    </row>
    <row r="1630" spans="1:8" s="71" customFormat="1" ht="15.95" hidden="1" customHeight="1">
      <c r="A1630" s="93"/>
      <c r="B1630" s="93"/>
      <c r="C1630" s="94"/>
      <c r="D1630" s="95"/>
      <c r="E1630" s="95"/>
      <c r="F1630" s="95"/>
      <c r="G1630" s="95">
        <f>ROUND(E1630*F1630,2)</f>
        <v>0</v>
      </c>
      <c r="H1630" s="96">
        <v>0</v>
      </c>
    </row>
    <row r="1631" spans="1:8" s="71" customFormat="1" ht="15.95" hidden="1" customHeight="1">
      <c r="A1631" s="93"/>
      <c r="B1631" s="93"/>
      <c r="C1631" s="94"/>
      <c r="D1631" s="95"/>
      <c r="E1631" s="95"/>
      <c r="F1631" s="95"/>
      <c r="G1631" s="95">
        <f>ROUND(E1631*F1631,2)</f>
        <v>0</v>
      </c>
      <c r="H1631" s="96">
        <v>0</v>
      </c>
    </row>
    <row r="1632" spans="1:8" s="69" customFormat="1" ht="15.95" hidden="1" customHeight="1">
      <c r="A1632" s="93"/>
      <c r="B1632" s="93"/>
      <c r="C1632" s="94"/>
      <c r="D1632" s="95"/>
      <c r="E1632" s="95"/>
      <c r="F1632" s="95"/>
      <c r="G1632" s="95">
        <f>ROUND(E1632*F1632,2)</f>
        <v>0</v>
      </c>
      <c r="H1632" s="96">
        <v>0</v>
      </c>
    </row>
    <row r="1633" spans="1:8" s="71" customFormat="1" ht="15.95" hidden="1" customHeight="1">
      <c r="A1633" s="90" t="s">
        <v>800</v>
      </c>
      <c r="B1633" s="90" t="s">
        <v>800</v>
      </c>
      <c r="C1633" s="91" t="s">
        <v>801</v>
      </c>
      <c r="D1633" s="82"/>
      <c r="E1633" s="82"/>
      <c r="F1633" s="82"/>
      <c r="G1633" s="82">
        <f>SUM(G1634:G1636)</f>
        <v>0</v>
      </c>
      <c r="H1633" s="97"/>
    </row>
    <row r="1634" spans="1:8" s="71" customFormat="1" ht="15.95" hidden="1" customHeight="1">
      <c r="A1634" s="93"/>
      <c r="B1634" s="93"/>
      <c r="C1634" s="94"/>
      <c r="D1634" s="95"/>
      <c r="E1634" s="95"/>
      <c r="F1634" s="95"/>
      <c r="G1634" s="95">
        <f>ROUND(E1634*F1634,2)</f>
        <v>0</v>
      </c>
      <c r="H1634" s="96">
        <v>0</v>
      </c>
    </row>
    <row r="1635" spans="1:8" s="71" customFormat="1" ht="15.95" hidden="1" customHeight="1">
      <c r="A1635" s="93"/>
      <c r="B1635" s="93"/>
      <c r="C1635" s="94"/>
      <c r="D1635" s="95"/>
      <c r="E1635" s="95"/>
      <c r="F1635" s="95"/>
      <c r="G1635" s="95">
        <f>ROUND(E1635*F1635,2)</f>
        <v>0</v>
      </c>
      <c r="H1635" s="96">
        <v>0</v>
      </c>
    </row>
    <row r="1636" spans="1:8" s="69" customFormat="1" ht="15.95" hidden="1" customHeight="1">
      <c r="A1636" s="93"/>
      <c r="B1636" s="93"/>
      <c r="C1636" s="94"/>
      <c r="D1636" s="95"/>
      <c r="E1636" s="95"/>
      <c r="F1636" s="95"/>
      <c r="G1636" s="95">
        <f>ROUND(E1636*F1636,2)</f>
        <v>0</v>
      </c>
      <c r="H1636" s="96">
        <v>0</v>
      </c>
    </row>
    <row r="1637" spans="1:8" s="70" customFormat="1" ht="15.95" hidden="1" customHeight="1">
      <c r="A1637" s="83"/>
      <c r="B1637" s="83"/>
      <c r="C1637" s="84" t="s">
        <v>802</v>
      </c>
      <c r="D1637" s="85"/>
      <c r="E1637" s="85"/>
      <c r="F1637" s="85"/>
      <c r="G1637" s="82"/>
      <c r="H1637" s="97"/>
    </row>
    <row r="1638" spans="1:8" s="70" customFormat="1" ht="15.95" hidden="1" customHeight="1">
      <c r="A1638" s="106" t="s">
        <v>803</v>
      </c>
      <c r="B1638" s="106" t="s">
        <v>803</v>
      </c>
      <c r="C1638" s="88" t="s">
        <v>804</v>
      </c>
      <c r="D1638" s="89"/>
      <c r="E1638" s="89"/>
      <c r="F1638" s="89"/>
      <c r="G1638" s="89">
        <f>SG_20_01+SG_20_02+SG_20_03+SG_20_04+SG_20_05+SG_20_06+SG_20_07+SG_20_08+SG_20_09+SG_20_10+SG_20_11+SG_20_12+SG_20_13+SG_20_14+SG_20_15+SG_20_16+SG_20_17+SG_20_18+SG_20_19+SG_20_20</f>
        <v>0</v>
      </c>
      <c r="H1638" s="97"/>
    </row>
    <row r="1639" spans="1:8" s="70" customFormat="1" ht="15.95" hidden="1" customHeight="1">
      <c r="A1639" s="90" t="s">
        <v>805</v>
      </c>
      <c r="B1639" s="90" t="s">
        <v>805</v>
      </c>
      <c r="C1639" s="91" t="s">
        <v>806</v>
      </c>
      <c r="D1639" s="82"/>
      <c r="E1639" s="82"/>
      <c r="F1639" s="82"/>
      <c r="G1639" s="82">
        <f>SUM(G1640:G1642)</f>
        <v>0</v>
      </c>
      <c r="H1639" s="97"/>
    </row>
    <row r="1640" spans="1:8" s="70" customFormat="1" ht="15.95" hidden="1" customHeight="1">
      <c r="A1640" s="93"/>
      <c r="B1640" s="93"/>
      <c r="C1640" s="94"/>
      <c r="D1640" s="95"/>
      <c r="E1640" s="95"/>
      <c r="F1640" s="95"/>
      <c r="G1640" s="95">
        <f>ROUND(E1640*F1640,2)</f>
        <v>0</v>
      </c>
      <c r="H1640" s="97">
        <v>0</v>
      </c>
    </row>
    <row r="1641" spans="1:8" s="70" customFormat="1" ht="15.95" hidden="1" customHeight="1">
      <c r="A1641" s="93"/>
      <c r="B1641" s="93"/>
      <c r="C1641" s="94"/>
      <c r="D1641" s="95"/>
      <c r="E1641" s="95"/>
      <c r="F1641" s="95"/>
      <c r="G1641" s="95">
        <f>ROUND(E1641*F1641,2)</f>
        <v>0</v>
      </c>
      <c r="H1641" s="97">
        <v>0</v>
      </c>
    </row>
    <row r="1642" spans="1:8" s="70" customFormat="1" ht="15.95" hidden="1" customHeight="1">
      <c r="A1642" s="93"/>
      <c r="B1642" s="93"/>
      <c r="C1642" s="94"/>
      <c r="D1642" s="95"/>
      <c r="E1642" s="95"/>
      <c r="F1642" s="95"/>
      <c r="G1642" s="95">
        <f>ROUND(E1642*F1642,2)</f>
        <v>0</v>
      </c>
      <c r="H1642" s="97">
        <v>0</v>
      </c>
    </row>
    <row r="1643" spans="1:8" s="70" customFormat="1" ht="15.95" hidden="1" customHeight="1">
      <c r="A1643" s="90" t="s">
        <v>807</v>
      </c>
      <c r="B1643" s="90" t="s">
        <v>807</v>
      </c>
      <c r="C1643" s="91" t="s">
        <v>808</v>
      </c>
      <c r="D1643" s="82"/>
      <c r="E1643" s="82"/>
      <c r="F1643" s="82"/>
      <c r="G1643" s="82">
        <f>SUM(G1644:G1646)</f>
        <v>0</v>
      </c>
      <c r="H1643" s="97"/>
    </row>
    <row r="1644" spans="1:8" s="70" customFormat="1" ht="15.95" hidden="1" customHeight="1">
      <c r="A1644" s="93"/>
      <c r="B1644" s="93"/>
      <c r="C1644" s="94"/>
      <c r="D1644" s="95"/>
      <c r="E1644" s="95"/>
      <c r="F1644" s="95"/>
      <c r="G1644" s="95">
        <f>ROUND(E1644*F1644,2)</f>
        <v>0</v>
      </c>
      <c r="H1644" s="97">
        <v>0</v>
      </c>
    </row>
    <row r="1645" spans="1:8" s="70" customFormat="1" ht="15.95" hidden="1" customHeight="1">
      <c r="A1645" s="93"/>
      <c r="B1645" s="93"/>
      <c r="C1645" s="94"/>
      <c r="D1645" s="95"/>
      <c r="E1645" s="95"/>
      <c r="F1645" s="95"/>
      <c r="G1645" s="95">
        <f>ROUND(E1645*F1645,2)</f>
        <v>0</v>
      </c>
      <c r="H1645" s="97">
        <v>0</v>
      </c>
    </row>
    <row r="1646" spans="1:8" s="70" customFormat="1" ht="15.95" hidden="1" customHeight="1">
      <c r="A1646" s="93"/>
      <c r="B1646" s="93"/>
      <c r="C1646" s="94"/>
      <c r="D1646" s="95"/>
      <c r="E1646" s="95"/>
      <c r="F1646" s="95"/>
      <c r="G1646" s="95">
        <f>ROUND(E1646*F1646,2)</f>
        <v>0</v>
      </c>
      <c r="H1646" s="97">
        <v>0</v>
      </c>
    </row>
    <row r="1647" spans="1:8" s="70" customFormat="1" ht="15.95" hidden="1" customHeight="1">
      <c r="A1647" s="90" t="s">
        <v>809</v>
      </c>
      <c r="B1647" s="90" t="s">
        <v>809</v>
      </c>
      <c r="C1647" s="91" t="s">
        <v>810</v>
      </c>
      <c r="D1647" s="82"/>
      <c r="E1647" s="82"/>
      <c r="F1647" s="82"/>
      <c r="G1647" s="82">
        <f>SUM(G1648:G1650)</f>
        <v>0</v>
      </c>
      <c r="H1647" s="97"/>
    </row>
    <row r="1648" spans="1:8" s="70" customFormat="1" ht="15.95" hidden="1" customHeight="1">
      <c r="A1648" s="93"/>
      <c r="B1648" s="93"/>
      <c r="C1648" s="94"/>
      <c r="D1648" s="95"/>
      <c r="E1648" s="95"/>
      <c r="F1648" s="95"/>
      <c r="G1648" s="95">
        <f>ROUND(E1648*F1648,2)</f>
        <v>0</v>
      </c>
      <c r="H1648" s="97">
        <v>0</v>
      </c>
    </row>
    <row r="1649" spans="1:8" s="70" customFormat="1" ht="15.95" hidden="1" customHeight="1">
      <c r="A1649" s="93"/>
      <c r="B1649" s="93"/>
      <c r="C1649" s="94"/>
      <c r="D1649" s="95"/>
      <c r="E1649" s="95"/>
      <c r="F1649" s="95"/>
      <c r="G1649" s="95">
        <f>ROUND(E1649*F1649,2)</f>
        <v>0</v>
      </c>
      <c r="H1649" s="97">
        <v>0</v>
      </c>
    </row>
    <row r="1650" spans="1:8" s="70" customFormat="1" ht="15.95" hidden="1" customHeight="1">
      <c r="A1650" s="93"/>
      <c r="B1650" s="93"/>
      <c r="C1650" s="94"/>
      <c r="D1650" s="95"/>
      <c r="E1650" s="95"/>
      <c r="F1650" s="95"/>
      <c r="G1650" s="95">
        <f>ROUND(E1650*F1650,2)</f>
        <v>0</v>
      </c>
      <c r="H1650" s="97">
        <v>0</v>
      </c>
    </row>
    <row r="1651" spans="1:8" s="70" customFormat="1" ht="15.95" hidden="1" customHeight="1">
      <c r="A1651" s="90" t="s">
        <v>811</v>
      </c>
      <c r="B1651" s="90" t="s">
        <v>811</v>
      </c>
      <c r="C1651" s="91" t="s">
        <v>812</v>
      </c>
      <c r="D1651" s="82"/>
      <c r="E1651" s="82"/>
      <c r="F1651" s="82"/>
      <c r="G1651" s="82">
        <f>SUM(G1652:G1654)</f>
        <v>0</v>
      </c>
      <c r="H1651" s="97"/>
    </row>
    <row r="1652" spans="1:8" s="70" customFormat="1" ht="15.95" hidden="1" customHeight="1">
      <c r="A1652" s="93"/>
      <c r="B1652" s="93"/>
      <c r="C1652" s="94"/>
      <c r="D1652" s="95"/>
      <c r="E1652" s="95"/>
      <c r="F1652" s="95"/>
      <c r="G1652" s="95">
        <f>ROUND(E1652*F1652,2)</f>
        <v>0</v>
      </c>
      <c r="H1652" s="97">
        <v>0</v>
      </c>
    </row>
    <row r="1653" spans="1:8" s="70" customFormat="1" ht="15.95" hidden="1" customHeight="1">
      <c r="A1653" s="93"/>
      <c r="B1653" s="93"/>
      <c r="C1653" s="94"/>
      <c r="D1653" s="95"/>
      <c r="E1653" s="95"/>
      <c r="F1653" s="95"/>
      <c r="G1653" s="95">
        <f>ROUND(E1653*F1653,2)</f>
        <v>0</v>
      </c>
      <c r="H1653" s="97">
        <v>0</v>
      </c>
    </row>
    <row r="1654" spans="1:8" s="70" customFormat="1" ht="15.95" hidden="1" customHeight="1">
      <c r="A1654" s="93"/>
      <c r="B1654" s="93"/>
      <c r="C1654" s="94"/>
      <c r="D1654" s="95"/>
      <c r="E1654" s="95"/>
      <c r="F1654" s="95"/>
      <c r="G1654" s="95">
        <f>ROUND(E1654*F1654,2)</f>
        <v>0</v>
      </c>
      <c r="H1654" s="97">
        <v>0</v>
      </c>
    </row>
    <row r="1655" spans="1:8" s="70" customFormat="1" ht="15.95" hidden="1" customHeight="1">
      <c r="A1655" s="90" t="s">
        <v>813</v>
      </c>
      <c r="B1655" s="90" t="s">
        <v>813</v>
      </c>
      <c r="C1655" s="91" t="s">
        <v>814</v>
      </c>
      <c r="D1655" s="82"/>
      <c r="E1655" s="82"/>
      <c r="F1655" s="82"/>
      <c r="G1655" s="82">
        <f>SUM(G1656:G1658)</f>
        <v>0</v>
      </c>
      <c r="H1655" s="97"/>
    </row>
    <row r="1656" spans="1:8" s="70" customFormat="1" ht="15.95" hidden="1" customHeight="1">
      <c r="A1656" s="93"/>
      <c r="B1656" s="93"/>
      <c r="C1656" s="94"/>
      <c r="D1656" s="95"/>
      <c r="E1656" s="95"/>
      <c r="F1656" s="95"/>
      <c r="G1656" s="95">
        <f>ROUND(E1656*F1656,2)</f>
        <v>0</v>
      </c>
      <c r="H1656" s="97">
        <v>0</v>
      </c>
    </row>
    <row r="1657" spans="1:8" s="70" customFormat="1" ht="15.95" hidden="1" customHeight="1">
      <c r="A1657" s="93"/>
      <c r="B1657" s="93"/>
      <c r="C1657" s="94"/>
      <c r="D1657" s="95"/>
      <c r="E1657" s="95"/>
      <c r="F1657" s="95"/>
      <c r="G1657" s="95">
        <f>ROUND(E1657*F1657,2)</f>
        <v>0</v>
      </c>
      <c r="H1657" s="97">
        <v>0</v>
      </c>
    </row>
    <row r="1658" spans="1:8" s="70" customFormat="1" ht="15.95" hidden="1" customHeight="1">
      <c r="A1658" s="93"/>
      <c r="B1658" s="93"/>
      <c r="C1658" s="94"/>
      <c r="D1658" s="95"/>
      <c r="E1658" s="95"/>
      <c r="F1658" s="95"/>
      <c r="G1658" s="95">
        <f>ROUND(E1658*F1658,2)</f>
        <v>0</v>
      </c>
      <c r="H1658" s="97">
        <v>0</v>
      </c>
    </row>
    <row r="1659" spans="1:8" s="70" customFormat="1" ht="15.95" hidden="1" customHeight="1">
      <c r="A1659" s="90" t="s">
        <v>815</v>
      </c>
      <c r="B1659" s="90" t="s">
        <v>815</v>
      </c>
      <c r="C1659" s="91" t="s">
        <v>816</v>
      </c>
      <c r="D1659" s="82"/>
      <c r="E1659" s="82"/>
      <c r="F1659" s="82"/>
      <c r="G1659" s="82">
        <f>SUM(G1660:G1662)</f>
        <v>0</v>
      </c>
      <c r="H1659" s="97"/>
    </row>
    <row r="1660" spans="1:8" s="70" customFormat="1" ht="15.95" hidden="1" customHeight="1">
      <c r="A1660" s="93"/>
      <c r="B1660" s="93"/>
      <c r="C1660" s="94"/>
      <c r="D1660" s="95"/>
      <c r="E1660" s="95"/>
      <c r="F1660" s="95"/>
      <c r="G1660" s="95">
        <f>ROUND(E1660*F1660,2)</f>
        <v>0</v>
      </c>
      <c r="H1660" s="97">
        <v>0</v>
      </c>
    </row>
    <row r="1661" spans="1:8" s="70" customFormat="1" ht="15.95" hidden="1" customHeight="1">
      <c r="A1661" s="93"/>
      <c r="B1661" s="93"/>
      <c r="C1661" s="94"/>
      <c r="D1661" s="95"/>
      <c r="E1661" s="95"/>
      <c r="F1661" s="95"/>
      <c r="G1661" s="95">
        <f>ROUND(E1661*F1661,2)</f>
        <v>0</v>
      </c>
      <c r="H1661" s="97">
        <v>0</v>
      </c>
    </row>
    <row r="1662" spans="1:8" s="70" customFormat="1" ht="15.95" hidden="1" customHeight="1">
      <c r="A1662" s="93"/>
      <c r="B1662" s="93"/>
      <c r="C1662" s="94"/>
      <c r="D1662" s="95"/>
      <c r="E1662" s="95"/>
      <c r="F1662" s="95"/>
      <c r="G1662" s="95">
        <f>ROUND(E1662*F1662,2)</f>
        <v>0</v>
      </c>
      <c r="H1662" s="97">
        <v>0</v>
      </c>
    </row>
    <row r="1663" spans="1:8" s="70" customFormat="1" ht="15.95" hidden="1" customHeight="1">
      <c r="A1663" s="90" t="s">
        <v>817</v>
      </c>
      <c r="B1663" s="90" t="s">
        <v>817</v>
      </c>
      <c r="C1663" s="91" t="s">
        <v>818</v>
      </c>
      <c r="D1663" s="82"/>
      <c r="E1663" s="82"/>
      <c r="F1663" s="82"/>
      <c r="G1663" s="82">
        <f>SUM(G1664:G1666)</f>
        <v>0</v>
      </c>
      <c r="H1663" s="97"/>
    </row>
    <row r="1664" spans="1:8" s="70" customFormat="1" ht="15.95" hidden="1" customHeight="1">
      <c r="A1664" s="93"/>
      <c r="B1664" s="93"/>
      <c r="C1664" s="94"/>
      <c r="D1664" s="95"/>
      <c r="E1664" s="95"/>
      <c r="F1664" s="95"/>
      <c r="G1664" s="95">
        <f>ROUND(E1664*F1664,2)</f>
        <v>0</v>
      </c>
      <c r="H1664" s="97">
        <v>0</v>
      </c>
    </row>
    <row r="1665" spans="1:8" s="70" customFormat="1" ht="15.95" hidden="1" customHeight="1">
      <c r="A1665" s="93"/>
      <c r="B1665" s="93"/>
      <c r="C1665" s="94"/>
      <c r="D1665" s="95"/>
      <c r="E1665" s="95"/>
      <c r="F1665" s="95"/>
      <c r="G1665" s="95">
        <f>ROUND(E1665*F1665,2)</f>
        <v>0</v>
      </c>
      <c r="H1665" s="97">
        <v>0</v>
      </c>
    </row>
    <row r="1666" spans="1:8" s="70" customFormat="1" ht="15.95" hidden="1" customHeight="1">
      <c r="A1666" s="93"/>
      <c r="B1666" s="93"/>
      <c r="C1666" s="94"/>
      <c r="D1666" s="95"/>
      <c r="E1666" s="95"/>
      <c r="F1666" s="95"/>
      <c r="G1666" s="95">
        <f>ROUND(E1666*F1666,2)</f>
        <v>0</v>
      </c>
      <c r="H1666" s="97">
        <v>0</v>
      </c>
    </row>
    <row r="1667" spans="1:8" s="70" customFormat="1" ht="15.95" hidden="1" customHeight="1">
      <c r="A1667" s="90" t="s">
        <v>819</v>
      </c>
      <c r="B1667" s="90" t="s">
        <v>819</v>
      </c>
      <c r="C1667" s="91" t="s">
        <v>820</v>
      </c>
      <c r="D1667" s="82"/>
      <c r="E1667" s="82"/>
      <c r="F1667" s="82"/>
      <c r="G1667" s="82">
        <f>SUM(G1668:G1670)</f>
        <v>0</v>
      </c>
      <c r="H1667" s="97"/>
    </row>
    <row r="1668" spans="1:8" s="70" customFormat="1" ht="15.95" hidden="1" customHeight="1">
      <c r="A1668" s="93"/>
      <c r="B1668" s="93"/>
      <c r="C1668" s="94"/>
      <c r="D1668" s="95"/>
      <c r="E1668" s="95"/>
      <c r="F1668" s="95"/>
      <c r="G1668" s="95">
        <f>ROUND(E1668*F1668,2)</f>
        <v>0</v>
      </c>
      <c r="H1668" s="97">
        <v>0</v>
      </c>
    </row>
    <row r="1669" spans="1:8" s="70" customFormat="1" ht="15.95" hidden="1" customHeight="1">
      <c r="A1669" s="93"/>
      <c r="B1669" s="93"/>
      <c r="C1669" s="94"/>
      <c r="D1669" s="95"/>
      <c r="E1669" s="95"/>
      <c r="F1669" s="95"/>
      <c r="G1669" s="95">
        <f>ROUND(E1669*F1669,2)</f>
        <v>0</v>
      </c>
      <c r="H1669" s="97">
        <v>0</v>
      </c>
    </row>
    <row r="1670" spans="1:8" s="70" customFormat="1" ht="15.95" hidden="1" customHeight="1">
      <c r="A1670" s="93"/>
      <c r="B1670" s="93"/>
      <c r="C1670" s="94"/>
      <c r="D1670" s="95"/>
      <c r="E1670" s="95"/>
      <c r="F1670" s="95"/>
      <c r="G1670" s="95">
        <f>ROUND(E1670*F1670,2)</f>
        <v>0</v>
      </c>
      <c r="H1670" s="97">
        <v>0</v>
      </c>
    </row>
    <row r="1671" spans="1:8" s="70" customFormat="1" ht="15.95" hidden="1" customHeight="1">
      <c r="A1671" s="90" t="s">
        <v>821</v>
      </c>
      <c r="B1671" s="90" t="s">
        <v>821</v>
      </c>
      <c r="C1671" s="91" t="s">
        <v>822</v>
      </c>
      <c r="D1671" s="82"/>
      <c r="E1671" s="82"/>
      <c r="F1671" s="82"/>
      <c r="G1671" s="82">
        <f>SUM(G1672:G1674)</f>
        <v>0</v>
      </c>
      <c r="H1671" s="97"/>
    </row>
    <row r="1672" spans="1:8" s="70" customFormat="1" ht="15.95" hidden="1" customHeight="1">
      <c r="A1672" s="93"/>
      <c r="B1672" s="93"/>
      <c r="C1672" s="94"/>
      <c r="D1672" s="95"/>
      <c r="E1672" s="95"/>
      <c r="F1672" s="95"/>
      <c r="G1672" s="95">
        <f>ROUND(E1672*F1672,2)</f>
        <v>0</v>
      </c>
      <c r="H1672" s="97">
        <v>0</v>
      </c>
    </row>
    <row r="1673" spans="1:8" s="70" customFormat="1" ht="15.95" hidden="1" customHeight="1">
      <c r="A1673" s="93"/>
      <c r="B1673" s="93"/>
      <c r="C1673" s="94"/>
      <c r="D1673" s="95"/>
      <c r="E1673" s="95"/>
      <c r="F1673" s="95"/>
      <c r="G1673" s="95">
        <f>ROUND(E1673*F1673,2)</f>
        <v>0</v>
      </c>
      <c r="H1673" s="97">
        <v>0</v>
      </c>
    </row>
    <row r="1674" spans="1:8" s="70" customFormat="1" ht="15.95" hidden="1" customHeight="1">
      <c r="A1674" s="93"/>
      <c r="B1674" s="93"/>
      <c r="C1674" s="94"/>
      <c r="D1674" s="95"/>
      <c r="E1674" s="95"/>
      <c r="F1674" s="95"/>
      <c r="G1674" s="95">
        <f>ROUND(E1674*F1674,2)</f>
        <v>0</v>
      </c>
      <c r="H1674" s="97">
        <v>0</v>
      </c>
    </row>
    <row r="1675" spans="1:8" s="70" customFormat="1" ht="15.95" hidden="1" customHeight="1">
      <c r="A1675" s="90" t="s">
        <v>823</v>
      </c>
      <c r="B1675" s="90" t="s">
        <v>823</v>
      </c>
      <c r="C1675" s="91" t="s">
        <v>824</v>
      </c>
      <c r="D1675" s="82"/>
      <c r="E1675" s="82"/>
      <c r="F1675" s="82"/>
      <c r="G1675" s="82">
        <f>SUM(G1676:G1678)</f>
        <v>0</v>
      </c>
      <c r="H1675" s="97"/>
    </row>
    <row r="1676" spans="1:8" s="70" customFormat="1" ht="15.95" hidden="1" customHeight="1">
      <c r="A1676" s="93"/>
      <c r="B1676" s="93"/>
      <c r="C1676" s="94"/>
      <c r="D1676" s="95"/>
      <c r="E1676" s="95"/>
      <c r="F1676" s="95"/>
      <c r="G1676" s="95">
        <f>ROUND(E1676*F1676,2)</f>
        <v>0</v>
      </c>
      <c r="H1676" s="97">
        <v>0</v>
      </c>
    </row>
    <row r="1677" spans="1:8" s="70" customFormat="1" ht="15.95" hidden="1" customHeight="1">
      <c r="A1677" s="93"/>
      <c r="B1677" s="93"/>
      <c r="C1677" s="94"/>
      <c r="D1677" s="95"/>
      <c r="E1677" s="95"/>
      <c r="F1677" s="95"/>
      <c r="G1677" s="95">
        <f>ROUND(E1677*F1677,2)</f>
        <v>0</v>
      </c>
      <c r="H1677" s="97">
        <v>0</v>
      </c>
    </row>
    <row r="1678" spans="1:8" s="70" customFormat="1" ht="15.95" hidden="1" customHeight="1">
      <c r="A1678" s="93"/>
      <c r="B1678" s="93"/>
      <c r="C1678" s="94"/>
      <c r="D1678" s="95"/>
      <c r="E1678" s="95"/>
      <c r="F1678" s="95"/>
      <c r="G1678" s="95">
        <f>ROUND(E1678*F1678,2)</f>
        <v>0</v>
      </c>
      <c r="H1678" s="97">
        <v>0</v>
      </c>
    </row>
    <row r="1679" spans="1:8" s="70" customFormat="1" ht="15.95" hidden="1" customHeight="1">
      <c r="A1679" s="90" t="s">
        <v>825</v>
      </c>
      <c r="B1679" s="90" t="s">
        <v>825</v>
      </c>
      <c r="C1679" s="91" t="s">
        <v>826</v>
      </c>
      <c r="D1679" s="82"/>
      <c r="E1679" s="82"/>
      <c r="F1679" s="82"/>
      <c r="G1679" s="82">
        <f>SUM(G1680:G1682)</f>
        <v>0</v>
      </c>
      <c r="H1679" s="97"/>
    </row>
    <row r="1680" spans="1:8" s="70" customFormat="1" ht="15.95" hidden="1" customHeight="1">
      <c r="A1680" s="93"/>
      <c r="B1680" s="93"/>
      <c r="C1680" s="94"/>
      <c r="D1680" s="95"/>
      <c r="E1680" s="95"/>
      <c r="F1680" s="95"/>
      <c r="G1680" s="95">
        <f>ROUND(E1680*F1680,2)</f>
        <v>0</v>
      </c>
      <c r="H1680" s="97">
        <v>0</v>
      </c>
    </row>
    <row r="1681" spans="1:8" s="70" customFormat="1" ht="15.95" hidden="1" customHeight="1">
      <c r="A1681" s="93"/>
      <c r="B1681" s="93"/>
      <c r="C1681" s="94"/>
      <c r="D1681" s="95"/>
      <c r="E1681" s="95"/>
      <c r="F1681" s="95"/>
      <c r="G1681" s="95">
        <f>ROUND(E1681*F1681,2)</f>
        <v>0</v>
      </c>
      <c r="H1681" s="97">
        <v>0</v>
      </c>
    </row>
    <row r="1682" spans="1:8" s="70" customFormat="1" ht="15.95" hidden="1" customHeight="1">
      <c r="A1682" s="93"/>
      <c r="B1682" s="93"/>
      <c r="C1682" s="94"/>
      <c r="D1682" s="95"/>
      <c r="E1682" s="95"/>
      <c r="F1682" s="95"/>
      <c r="G1682" s="95">
        <f>ROUND(E1682*F1682,2)</f>
        <v>0</v>
      </c>
      <c r="H1682" s="97">
        <v>0</v>
      </c>
    </row>
    <row r="1683" spans="1:8" s="70" customFormat="1" ht="15.95" hidden="1" customHeight="1">
      <c r="A1683" s="90" t="s">
        <v>827</v>
      </c>
      <c r="B1683" s="90" t="s">
        <v>827</v>
      </c>
      <c r="C1683" s="91" t="s">
        <v>828</v>
      </c>
      <c r="D1683" s="82"/>
      <c r="E1683" s="82"/>
      <c r="F1683" s="82"/>
      <c r="G1683" s="82">
        <f>SUM(G1684:G1686)</f>
        <v>0</v>
      </c>
      <c r="H1683" s="97"/>
    </row>
    <row r="1684" spans="1:8" s="70" customFormat="1" ht="15.95" hidden="1" customHeight="1">
      <c r="A1684" s="93"/>
      <c r="B1684" s="93"/>
      <c r="C1684" s="94"/>
      <c r="D1684" s="95"/>
      <c r="E1684" s="95"/>
      <c r="F1684" s="95"/>
      <c r="G1684" s="95">
        <f>ROUND(E1684*F1684,2)</f>
        <v>0</v>
      </c>
      <c r="H1684" s="97">
        <v>0</v>
      </c>
    </row>
    <row r="1685" spans="1:8" s="70" customFormat="1" ht="15.95" hidden="1" customHeight="1">
      <c r="A1685" s="93"/>
      <c r="B1685" s="93"/>
      <c r="C1685" s="94"/>
      <c r="D1685" s="95"/>
      <c r="E1685" s="95"/>
      <c r="F1685" s="95"/>
      <c r="G1685" s="95">
        <f>ROUND(E1685*F1685,2)</f>
        <v>0</v>
      </c>
      <c r="H1685" s="97">
        <v>0</v>
      </c>
    </row>
    <row r="1686" spans="1:8" s="70" customFormat="1" ht="15.95" hidden="1" customHeight="1">
      <c r="A1686" s="93"/>
      <c r="B1686" s="93"/>
      <c r="C1686" s="94"/>
      <c r="D1686" s="95"/>
      <c r="E1686" s="95"/>
      <c r="F1686" s="95"/>
      <c r="G1686" s="95">
        <f>ROUND(E1686*F1686,2)</f>
        <v>0</v>
      </c>
      <c r="H1686" s="97">
        <v>0</v>
      </c>
    </row>
    <row r="1687" spans="1:8" s="70" customFormat="1" ht="15.95" hidden="1" customHeight="1">
      <c r="A1687" s="90" t="s">
        <v>829</v>
      </c>
      <c r="B1687" s="90" t="s">
        <v>829</v>
      </c>
      <c r="C1687" s="91" t="s">
        <v>830</v>
      </c>
      <c r="D1687" s="82"/>
      <c r="E1687" s="82"/>
      <c r="F1687" s="82"/>
      <c r="G1687" s="82">
        <f>SUM(G1688:G1690)</f>
        <v>0</v>
      </c>
      <c r="H1687" s="97"/>
    </row>
    <row r="1688" spans="1:8" s="70" customFormat="1" ht="15.95" hidden="1" customHeight="1">
      <c r="A1688" s="93"/>
      <c r="B1688" s="93"/>
      <c r="C1688" s="94"/>
      <c r="D1688" s="95"/>
      <c r="E1688" s="95"/>
      <c r="F1688" s="95"/>
      <c r="G1688" s="95">
        <f>ROUND(E1688*F1688,2)</f>
        <v>0</v>
      </c>
      <c r="H1688" s="97">
        <v>0</v>
      </c>
    </row>
    <row r="1689" spans="1:8" s="70" customFormat="1" ht="15.95" hidden="1" customHeight="1">
      <c r="A1689" s="93"/>
      <c r="B1689" s="93"/>
      <c r="C1689" s="94"/>
      <c r="D1689" s="95"/>
      <c r="E1689" s="95"/>
      <c r="F1689" s="95"/>
      <c r="G1689" s="95">
        <f>ROUND(E1689*F1689,2)</f>
        <v>0</v>
      </c>
      <c r="H1689" s="97">
        <v>0</v>
      </c>
    </row>
    <row r="1690" spans="1:8" s="70" customFormat="1" ht="15.95" hidden="1" customHeight="1">
      <c r="A1690" s="93"/>
      <c r="B1690" s="93"/>
      <c r="C1690" s="94"/>
      <c r="D1690" s="95"/>
      <c r="E1690" s="95"/>
      <c r="F1690" s="95"/>
      <c r="G1690" s="95">
        <f>ROUND(E1690*F1690,2)</f>
        <v>0</v>
      </c>
      <c r="H1690" s="97">
        <v>0</v>
      </c>
    </row>
    <row r="1691" spans="1:8" s="70" customFormat="1" ht="15.95" hidden="1" customHeight="1">
      <c r="A1691" s="90" t="s">
        <v>831</v>
      </c>
      <c r="B1691" s="90" t="s">
        <v>831</v>
      </c>
      <c r="C1691" s="91" t="s">
        <v>832</v>
      </c>
      <c r="D1691" s="82"/>
      <c r="E1691" s="82"/>
      <c r="F1691" s="82"/>
      <c r="G1691" s="82">
        <f>SUM(G1692:G1694)</f>
        <v>0</v>
      </c>
      <c r="H1691" s="97"/>
    </row>
    <row r="1692" spans="1:8" s="70" customFormat="1" ht="15.95" hidden="1" customHeight="1">
      <c r="A1692" s="93"/>
      <c r="B1692" s="93"/>
      <c r="C1692" s="94"/>
      <c r="D1692" s="95"/>
      <c r="E1692" s="95"/>
      <c r="F1692" s="95"/>
      <c r="G1692" s="95">
        <f>ROUND(E1692*F1692,2)</f>
        <v>0</v>
      </c>
      <c r="H1692" s="97">
        <v>0</v>
      </c>
    </row>
    <row r="1693" spans="1:8" s="70" customFormat="1" ht="15.95" hidden="1" customHeight="1">
      <c r="A1693" s="93"/>
      <c r="B1693" s="93"/>
      <c r="C1693" s="94"/>
      <c r="D1693" s="95"/>
      <c r="E1693" s="95"/>
      <c r="F1693" s="95"/>
      <c r="G1693" s="95">
        <f>ROUND(E1693*F1693,2)</f>
        <v>0</v>
      </c>
      <c r="H1693" s="97">
        <v>0</v>
      </c>
    </row>
    <row r="1694" spans="1:8" s="70" customFormat="1" ht="15.95" hidden="1" customHeight="1">
      <c r="A1694" s="93"/>
      <c r="B1694" s="93"/>
      <c r="C1694" s="94"/>
      <c r="D1694" s="95"/>
      <c r="E1694" s="95"/>
      <c r="F1694" s="95"/>
      <c r="G1694" s="95">
        <f>ROUND(E1694*F1694,2)</f>
        <v>0</v>
      </c>
      <c r="H1694" s="97">
        <v>0</v>
      </c>
    </row>
    <row r="1695" spans="1:8" s="70" customFormat="1" ht="15.95" hidden="1" customHeight="1">
      <c r="A1695" s="90" t="s">
        <v>833</v>
      </c>
      <c r="B1695" s="90" t="s">
        <v>833</v>
      </c>
      <c r="C1695" s="91" t="s">
        <v>834</v>
      </c>
      <c r="D1695" s="82"/>
      <c r="E1695" s="82"/>
      <c r="F1695" s="82"/>
      <c r="G1695" s="82">
        <f>SUM(G1696:G1698)</f>
        <v>0</v>
      </c>
      <c r="H1695" s="97"/>
    </row>
    <row r="1696" spans="1:8" s="70" customFormat="1" ht="15.95" hidden="1" customHeight="1">
      <c r="A1696" s="93"/>
      <c r="B1696" s="93"/>
      <c r="C1696" s="94"/>
      <c r="D1696" s="95"/>
      <c r="E1696" s="95"/>
      <c r="F1696" s="95"/>
      <c r="G1696" s="95">
        <f>ROUND(E1696*F1696,2)</f>
        <v>0</v>
      </c>
      <c r="H1696" s="97">
        <v>0</v>
      </c>
    </row>
    <row r="1697" spans="1:8" s="70" customFormat="1" ht="15.95" hidden="1" customHeight="1">
      <c r="A1697" s="93"/>
      <c r="B1697" s="93"/>
      <c r="C1697" s="94"/>
      <c r="D1697" s="95"/>
      <c r="E1697" s="95"/>
      <c r="F1697" s="95"/>
      <c r="G1697" s="95">
        <f>ROUND(E1697*F1697,2)</f>
        <v>0</v>
      </c>
      <c r="H1697" s="97">
        <v>0</v>
      </c>
    </row>
    <row r="1698" spans="1:8" s="69" customFormat="1" ht="15.95" hidden="1" customHeight="1">
      <c r="A1698" s="93"/>
      <c r="B1698" s="93"/>
      <c r="C1698" s="94"/>
      <c r="D1698" s="95"/>
      <c r="E1698" s="95"/>
      <c r="F1698" s="95"/>
      <c r="G1698" s="95">
        <f>ROUND(E1698*F1698,2)</f>
        <v>0</v>
      </c>
      <c r="H1698" s="97">
        <v>0</v>
      </c>
    </row>
    <row r="1699" spans="1:8" s="71" customFormat="1" ht="15.95" hidden="1" customHeight="1">
      <c r="A1699" s="90" t="s">
        <v>835</v>
      </c>
      <c r="B1699" s="90" t="s">
        <v>835</v>
      </c>
      <c r="C1699" s="91" t="s">
        <v>836</v>
      </c>
      <c r="D1699" s="82"/>
      <c r="E1699" s="82"/>
      <c r="F1699" s="82"/>
      <c r="G1699" s="82">
        <f>SUM(G1700:G1702)</f>
        <v>0</v>
      </c>
      <c r="H1699" s="97"/>
    </row>
    <row r="1700" spans="1:8" s="71" customFormat="1" ht="15.95" hidden="1" customHeight="1">
      <c r="A1700" s="93"/>
      <c r="B1700" s="93"/>
      <c r="C1700" s="94"/>
      <c r="D1700" s="95"/>
      <c r="E1700" s="95"/>
      <c r="F1700" s="95"/>
      <c r="G1700" s="95">
        <f>ROUND(E1700*F1700,2)</f>
        <v>0</v>
      </c>
      <c r="H1700" s="96">
        <v>0</v>
      </c>
    </row>
    <row r="1701" spans="1:8" s="71" customFormat="1" ht="15.95" hidden="1" customHeight="1">
      <c r="A1701" s="93"/>
      <c r="B1701" s="93"/>
      <c r="C1701" s="94"/>
      <c r="D1701" s="95"/>
      <c r="E1701" s="95"/>
      <c r="F1701" s="95"/>
      <c r="G1701" s="95">
        <f>ROUND(E1701*F1701,2)</f>
        <v>0</v>
      </c>
      <c r="H1701" s="96">
        <v>0</v>
      </c>
    </row>
    <row r="1702" spans="1:8" s="69" customFormat="1" ht="15.95" hidden="1" customHeight="1">
      <c r="A1702" s="93"/>
      <c r="B1702" s="93"/>
      <c r="C1702" s="94"/>
      <c r="D1702" s="95"/>
      <c r="E1702" s="95"/>
      <c r="F1702" s="95"/>
      <c r="G1702" s="95">
        <f>ROUND(E1702*F1702,2)</f>
        <v>0</v>
      </c>
      <c r="H1702" s="96">
        <v>0</v>
      </c>
    </row>
    <row r="1703" spans="1:8" s="71" customFormat="1" ht="15.95" hidden="1" customHeight="1">
      <c r="A1703" s="90" t="s">
        <v>837</v>
      </c>
      <c r="B1703" s="90" t="s">
        <v>837</v>
      </c>
      <c r="C1703" s="91" t="s">
        <v>838</v>
      </c>
      <c r="D1703" s="82"/>
      <c r="E1703" s="82"/>
      <c r="F1703" s="82"/>
      <c r="G1703" s="82">
        <f>SUM(G1704:G1706)</f>
        <v>0</v>
      </c>
      <c r="H1703" s="97"/>
    </row>
    <row r="1704" spans="1:8" s="71" customFormat="1" ht="15.95" hidden="1" customHeight="1">
      <c r="A1704" s="93"/>
      <c r="B1704" s="93"/>
      <c r="C1704" s="94"/>
      <c r="D1704" s="95"/>
      <c r="E1704" s="95"/>
      <c r="F1704" s="95"/>
      <c r="G1704" s="95">
        <f>ROUND(E1704*F1704,2)</f>
        <v>0</v>
      </c>
      <c r="H1704" s="96">
        <v>0</v>
      </c>
    </row>
    <row r="1705" spans="1:8" s="71" customFormat="1" ht="15.95" hidden="1" customHeight="1">
      <c r="A1705" s="93"/>
      <c r="B1705" s="93"/>
      <c r="C1705" s="94"/>
      <c r="D1705" s="95"/>
      <c r="E1705" s="95"/>
      <c r="F1705" s="95"/>
      <c r="G1705" s="95">
        <f>ROUND(E1705*F1705,2)</f>
        <v>0</v>
      </c>
      <c r="H1705" s="96">
        <v>0</v>
      </c>
    </row>
    <row r="1706" spans="1:8" s="69" customFormat="1" ht="15.95" hidden="1" customHeight="1">
      <c r="A1706" s="93"/>
      <c r="B1706" s="93"/>
      <c r="C1706" s="94"/>
      <c r="D1706" s="95"/>
      <c r="E1706" s="95"/>
      <c r="F1706" s="95"/>
      <c r="G1706" s="95">
        <f>ROUND(E1706*F1706,2)</f>
        <v>0</v>
      </c>
      <c r="H1706" s="96">
        <v>0</v>
      </c>
    </row>
    <row r="1707" spans="1:8" s="71" customFormat="1" ht="15.95" hidden="1" customHeight="1">
      <c r="A1707" s="90" t="s">
        <v>839</v>
      </c>
      <c r="B1707" s="90" t="s">
        <v>839</v>
      </c>
      <c r="C1707" s="91" t="s">
        <v>840</v>
      </c>
      <c r="D1707" s="82"/>
      <c r="E1707" s="82"/>
      <c r="F1707" s="82"/>
      <c r="G1707" s="82">
        <f>SUM(G1708:G1710)</f>
        <v>0</v>
      </c>
      <c r="H1707" s="97"/>
    </row>
    <row r="1708" spans="1:8" s="71" customFormat="1" ht="15.95" hidden="1" customHeight="1">
      <c r="A1708" s="93"/>
      <c r="B1708" s="93"/>
      <c r="C1708" s="94"/>
      <c r="D1708" s="95"/>
      <c r="E1708" s="95"/>
      <c r="F1708" s="95"/>
      <c r="G1708" s="95">
        <f>ROUND(E1708*F1708,2)</f>
        <v>0</v>
      </c>
      <c r="H1708" s="96">
        <v>0</v>
      </c>
    </row>
    <row r="1709" spans="1:8" s="71" customFormat="1" ht="15.95" hidden="1" customHeight="1">
      <c r="A1709" s="93"/>
      <c r="B1709" s="93"/>
      <c r="C1709" s="94"/>
      <c r="D1709" s="95"/>
      <c r="E1709" s="95"/>
      <c r="F1709" s="95"/>
      <c r="G1709" s="95">
        <f>ROUND(E1709*F1709,2)</f>
        <v>0</v>
      </c>
      <c r="H1709" s="96">
        <v>0</v>
      </c>
    </row>
    <row r="1710" spans="1:8" s="69" customFormat="1" ht="15.95" hidden="1" customHeight="1">
      <c r="A1710" s="93"/>
      <c r="B1710" s="93"/>
      <c r="C1710" s="94"/>
      <c r="D1710" s="95"/>
      <c r="E1710" s="95"/>
      <c r="F1710" s="95"/>
      <c r="G1710" s="95">
        <f>ROUND(E1710*F1710,2)</f>
        <v>0</v>
      </c>
      <c r="H1710" s="96">
        <v>0</v>
      </c>
    </row>
    <row r="1711" spans="1:8" s="71" customFormat="1" ht="15.95" hidden="1" customHeight="1">
      <c r="A1711" s="90" t="s">
        <v>841</v>
      </c>
      <c r="B1711" s="90" t="s">
        <v>841</v>
      </c>
      <c r="C1711" s="91" t="s">
        <v>842</v>
      </c>
      <c r="D1711" s="82"/>
      <c r="E1711" s="82"/>
      <c r="F1711" s="82"/>
      <c r="G1711" s="82">
        <f>SUM(G1712:G1714)</f>
        <v>0</v>
      </c>
      <c r="H1711" s="97"/>
    </row>
    <row r="1712" spans="1:8" s="71" customFormat="1" ht="15.95" hidden="1" customHeight="1">
      <c r="A1712" s="93"/>
      <c r="B1712" s="93"/>
      <c r="C1712" s="94"/>
      <c r="D1712" s="95"/>
      <c r="E1712" s="95"/>
      <c r="F1712" s="95"/>
      <c r="G1712" s="95">
        <f>ROUND(E1712*F1712,2)</f>
        <v>0</v>
      </c>
      <c r="H1712" s="96">
        <v>0</v>
      </c>
    </row>
    <row r="1713" spans="1:8" s="71" customFormat="1" ht="15.95" hidden="1" customHeight="1">
      <c r="A1713" s="93"/>
      <c r="B1713" s="93"/>
      <c r="C1713" s="94"/>
      <c r="D1713" s="95"/>
      <c r="E1713" s="95"/>
      <c r="F1713" s="95"/>
      <c r="G1713" s="95">
        <f>ROUND(E1713*F1713,2)</f>
        <v>0</v>
      </c>
      <c r="H1713" s="96">
        <v>0</v>
      </c>
    </row>
    <row r="1714" spans="1:8" s="69" customFormat="1" ht="15.95" hidden="1" customHeight="1">
      <c r="A1714" s="93"/>
      <c r="B1714" s="93"/>
      <c r="C1714" s="94"/>
      <c r="D1714" s="95"/>
      <c r="E1714" s="95"/>
      <c r="F1714" s="95"/>
      <c r="G1714" s="95">
        <f>ROUND(E1714*F1714,2)</f>
        <v>0</v>
      </c>
      <c r="H1714" s="96">
        <v>0</v>
      </c>
    </row>
    <row r="1715" spans="1:8" s="71" customFormat="1" ht="15.95" hidden="1" customHeight="1">
      <c r="A1715" s="90" t="s">
        <v>843</v>
      </c>
      <c r="B1715" s="90" t="s">
        <v>843</v>
      </c>
      <c r="C1715" s="91" t="s">
        <v>844</v>
      </c>
      <c r="D1715" s="82"/>
      <c r="E1715" s="82"/>
      <c r="F1715" s="82"/>
      <c r="G1715" s="82">
        <f>SUM(G1716:G1718)</f>
        <v>0</v>
      </c>
      <c r="H1715" s="97"/>
    </row>
    <row r="1716" spans="1:8" s="71" customFormat="1" ht="15.95" hidden="1" customHeight="1">
      <c r="A1716" s="93"/>
      <c r="B1716" s="93"/>
      <c r="C1716" s="94"/>
      <c r="D1716" s="95"/>
      <c r="E1716" s="95"/>
      <c r="F1716" s="95"/>
      <c r="G1716" s="95">
        <f>ROUND(E1716*F1716,2)</f>
        <v>0</v>
      </c>
      <c r="H1716" s="96">
        <v>0</v>
      </c>
    </row>
    <row r="1717" spans="1:8" s="71" customFormat="1" ht="15.95" hidden="1" customHeight="1">
      <c r="A1717" s="93"/>
      <c r="B1717" s="93"/>
      <c r="C1717" s="94"/>
      <c r="D1717" s="95"/>
      <c r="E1717" s="95"/>
      <c r="F1717" s="95"/>
      <c r="G1717" s="95">
        <f>ROUND(E1717*F1717,2)</f>
        <v>0</v>
      </c>
      <c r="H1717" s="96">
        <v>0</v>
      </c>
    </row>
    <row r="1718" spans="1:8" s="69" customFormat="1" ht="15.95" hidden="1" customHeight="1">
      <c r="A1718" s="93"/>
      <c r="B1718" s="93"/>
      <c r="C1718" s="94"/>
      <c r="D1718" s="95"/>
      <c r="E1718" s="95"/>
      <c r="F1718" s="95"/>
      <c r="G1718" s="95">
        <f>ROUND(E1718*F1718,2)</f>
        <v>0</v>
      </c>
      <c r="H1718" s="96">
        <v>0</v>
      </c>
    </row>
    <row r="1719" spans="1:8" s="73" customFormat="1" ht="18" customHeight="1">
      <c r="A1719" s="72"/>
      <c r="B1719" s="72"/>
      <c r="F1719" s="74" t="s">
        <v>845</v>
      </c>
      <c r="G1719" s="74">
        <f>G_01+G_02+G_03+G_04+G_05+G_06+G_07+G_08+G_09+G_10+G_11+G_12+G_13+G_14+G_15+G_16+G_17+G_18+G_19+G_20</f>
        <v>2181250.4900000002</v>
      </c>
      <c r="H1719" s="75"/>
    </row>
    <row r="1720" spans="1:8" s="77" customFormat="1">
      <c r="A1720" s="76"/>
      <c r="B1720" s="76"/>
      <c r="G1720" s="78" t="str">
        <f>[1]!Extenso(TOTAL_GERAL)</f>
        <v xml:space="preserve"> Dois Milhões, cento e oitenta e um mil, duzentos e cinquenta reais e quarenta e nove centavos</v>
      </c>
      <c r="H1720" s="79"/>
    </row>
    <row r="1727" spans="1:8">
      <c r="F1727" s="148" t="s">
        <v>1195</v>
      </c>
      <c r="G1727" s="148">
        <f>TOTAL_GERAL-G_05</f>
        <v>2038652.7700000003</v>
      </c>
      <c r="H1727" s="149"/>
    </row>
    <row r="1728" spans="1:8">
      <c r="F1728" s="150" t="s">
        <v>1196</v>
      </c>
      <c r="G1728" s="148"/>
      <c r="H1728" s="149"/>
    </row>
    <row r="1729" spans="6:8">
      <c r="F1729" s="150" t="s">
        <v>1197</v>
      </c>
      <c r="G1729" s="148"/>
      <c r="H1729" s="149"/>
    </row>
    <row r="1730" spans="6:8">
      <c r="F1730" s="151">
        <v>4.1300000000000003E-2</v>
      </c>
      <c r="G1730" s="148">
        <f>$G$1727*F1730</f>
        <v>84196.359401000023</v>
      </c>
      <c r="H1730" s="149"/>
    </row>
    <row r="1731" spans="6:8">
      <c r="F1731" s="151">
        <v>0.05</v>
      </c>
      <c r="G1731" s="148">
        <f t="shared" ref="G1731:G1733" si="21">$G$1727*F1731</f>
        <v>101932.63850000002</v>
      </c>
      <c r="H1731" s="149"/>
    </row>
    <row r="1732" spans="6:8">
      <c r="F1732" s="151">
        <v>7.6399999999999996E-2</v>
      </c>
      <c r="G1732" s="148">
        <f t="shared" si="21"/>
        <v>155753.07162800001</v>
      </c>
      <c r="H1732" s="149"/>
    </row>
    <row r="1733" spans="6:8">
      <c r="F1733" s="151">
        <v>0.1089</v>
      </c>
      <c r="G1733" s="148">
        <f t="shared" si="21"/>
        <v>222009.28665300002</v>
      </c>
      <c r="H1733" s="149"/>
    </row>
    <row r="1734" spans="6:8">
      <c r="F1734" s="148"/>
      <c r="G1734" s="148"/>
      <c r="H1734" s="149"/>
    </row>
    <row r="1735" spans="6:8">
      <c r="F1735" s="148">
        <f>SUMPRODUCT(Quantidade,Preço_Unitário)</f>
        <v>2181250.5178000005</v>
      </c>
      <c r="G1735" s="148">
        <f>F1735-TOTAL_GERAL</f>
        <v>2.780000027269125E-2</v>
      </c>
      <c r="H1735" s="149"/>
    </row>
    <row r="1736" spans="6:8">
      <c r="F1736" s="148"/>
      <c r="G1736" s="148"/>
      <c r="H1736" s="149"/>
    </row>
    <row r="1737" spans="6:8">
      <c r="F1737" s="148" t="s">
        <v>1198</v>
      </c>
      <c r="G1737" s="151">
        <f>G_05/G1727</f>
        <v>6.9947036640280819E-2</v>
      </c>
      <c r="H1737" s="149" t="str">
        <f>IF(G1737&gt;F1733,"AJUSTAR","OK")</f>
        <v>OK</v>
      </c>
    </row>
    <row r="1738" spans="6:8">
      <c r="F1738" s="148"/>
      <c r="G1738" s="148"/>
      <c r="H1738" s="149"/>
    </row>
    <row r="1739" spans="6:8">
      <c r="F1739" s="148"/>
      <c r="G1739" s="148"/>
      <c r="H1739" s="149"/>
    </row>
    <row r="1740" spans="6:8">
      <c r="F1740" s="148"/>
      <c r="G1740" s="148"/>
      <c r="H1740" s="149"/>
    </row>
    <row r="1741" spans="6:8">
      <c r="F1741" s="148"/>
      <c r="G1741" s="148">
        <f>+G1722/30</f>
        <v>0</v>
      </c>
      <c r="H1741" s="149"/>
    </row>
    <row r="1742" spans="6:8">
      <c r="F1742" s="148"/>
      <c r="G1742" s="148"/>
      <c r="H1742" s="149"/>
    </row>
  </sheetData>
  <mergeCells count="1">
    <mergeCell ref="A2:D2"/>
  </mergeCells>
  <phoneticPr fontId="0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97" orientation="landscape" horizontalDpi="300" verticalDpi="300" r:id="rId1"/>
  <headerFooter alignWithMargins="0">
    <oddFooter>&amp;L&amp;"Verdana,Normal"&amp;7ORÇAMENTO :&amp;"Eterna,Itálico"
&amp;C&amp;"Verdana,Normal"&amp;P&amp;R&amp;"Verdana,Normal"&amp;7&amp;F - &amp;A
RESP. PROJ.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430"/>
  <sheetViews>
    <sheetView showGridLines="0" view="pageBreakPreview" zoomScaleNormal="75" zoomScaleSheetLayoutView="100" workbookViewId="0"/>
  </sheetViews>
  <sheetFormatPr defaultColWidth="11.42578125" defaultRowHeight="12.75"/>
  <cols>
    <col min="1" max="1" width="11.42578125" style="57" customWidth="1"/>
    <col min="2" max="2" width="51.140625" style="50" customWidth="1"/>
    <col min="3" max="3" width="13.28515625" style="57" hidden="1" customWidth="1"/>
    <col min="4" max="4" width="22.7109375" style="110" customWidth="1"/>
    <col min="5" max="5" width="24.28515625" style="57" customWidth="1"/>
    <col min="6" max="16384" width="11.42578125" style="57"/>
  </cols>
  <sheetData>
    <row r="1" spans="1:5" ht="47.25" customHeight="1">
      <c r="A1" s="120" t="str">
        <f>Planilha!A1</f>
        <v>DIRETORIA DE OPERAÇÕES - DDO</v>
      </c>
      <c r="B1" s="108"/>
      <c r="C1" s="108"/>
      <c r="D1" s="121"/>
      <c r="E1" s="108" t="str">
        <f>Planilha!G1</f>
        <v>27.1</v>
      </c>
    </row>
    <row r="2" spans="1:5" ht="30" customHeight="1">
      <c r="A2" s="155" t="str">
        <f>Planilha!A2</f>
        <v>GERÊNCIA DE MELHORIA OPERACIONAL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COORDENADORIA DE PROJETOS, CUSTOS E ORÇAMENTO DE OPERAÇÕES</v>
      </c>
      <c r="B2" s="155"/>
      <c r="C2" s="155"/>
      <c r="D2" s="155"/>
      <c r="E2" s="155"/>
    </row>
    <row r="3" spans="1:5">
      <c r="A3" s="120" t="str">
        <f>Planilha!A3</f>
        <v>EXECUÇÃO DE SERVIÇOS TÉCNICOS DE APOIO NA EXPANSÃO DE SISTEMAS DE ÁGUA E ESGOTO DA UNBSC</v>
      </c>
      <c r="B3" s="108"/>
      <c r="C3" s="108"/>
      <c r="D3" s="121"/>
      <c r="E3" s="108"/>
    </row>
    <row r="4" spans="1:5">
      <c r="A4" s="108"/>
      <c r="B4" s="108"/>
      <c r="C4" s="108"/>
      <c r="D4" s="121"/>
      <c r="E4" s="108"/>
    </row>
    <row r="5" spans="1:5" s="109" customFormat="1" ht="15">
      <c r="A5" s="120" t="s">
        <v>846</v>
      </c>
      <c r="B5" s="118"/>
      <c r="C5" s="118"/>
      <c r="D5" s="122"/>
      <c r="E5" s="119" t="str">
        <f>Planilha!G4</f>
        <v>outubro / 2021</v>
      </c>
    </row>
    <row r="6" spans="1:5">
      <c r="A6" s="50"/>
      <c r="C6" s="50"/>
      <c r="D6" s="123"/>
      <c r="E6" s="50"/>
    </row>
    <row r="7" spans="1:5" s="114" customFormat="1">
      <c r="A7" s="111" t="s">
        <v>3</v>
      </c>
      <c r="B7" s="112" t="s">
        <v>863</v>
      </c>
      <c r="C7" s="111" t="s">
        <v>847</v>
      </c>
      <c r="D7" s="113" t="s">
        <v>848</v>
      </c>
      <c r="E7" s="111" t="s">
        <v>849</v>
      </c>
    </row>
    <row r="8" spans="1:5" s="114" customFormat="1">
      <c r="A8" s="124" t="str">
        <f>Planilha!$B$9</f>
        <v>01</v>
      </c>
      <c r="B8" s="125" t="str">
        <f>Planilha!$C$9</f>
        <v>SERVIÇOS DE EXPANSÃO - COMUM</v>
      </c>
      <c r="C8" s="126"/>
      <c r="D8" s="127">
        <f>IF(TOTAL_GERAL=0,0,ROUND(100*G_01/TOTAL_GERAL,2))</f>
        <v>14.98</v>
      </c>
      <c r="E8" s="128">
        <f>G_01</f>
        <v>326772.94999999995</v>
      </c>
    </row>
    <row r="9" spans="1:5" s="114" customFormat="1">
      <c r="A9" s="129" t="str">
        <f>Planilha!$B$10</f>
        <v>01.01</v>
      </c>
      <c r="B9" s="130" t="str">
        <f>Planilha!$C$10</f>
        <v>TRÂNSITO E SEGURANÇA</v>
      </c>
      <c r="C9" s="131">
        <f>IF(G_01=0,0,ROUND(100*E9/G_01,2))</f>
        <v>7.36</v>
      </c>
      <c r="D9" s="131">
        <f>IF(TOTAL_GERAL=0,0,ROUND(100*E9/TOTAL_GERAL,2))</f>
        <v>1.1000000000000001</v>
      </c>
      <c r="E9" s="132">
        <f>SG_01_01</f>
        <v>24038.91</v>
      </c>
    </row>
    <row r="10" spans="1:5" s="114" customFormat="1">
      <c r="A10" s="129" t="str">
        <f>Planilha!$B$14</f>
        <v>01.02</v>
      </c>
      <c r="B10" s="130" t="str">
        <f>Planilha!$C$14</f>
        <v>MOVIMENTO DE TERRA</v>
      </c>
      <c r="C10" s="131">
        <f t="shared" ref="C10:C25" si="0">IF(G_01=0,0,ROUND(100*E10/G_01,2))</f>
        <v>33.020000000000003</v>
      </c>
      <c r="D10" s="131">
        <f t="shared" ref="D10:D23" si="1">IF(TOTAL_GERAL=0,0,ROUND(100*E10/TOTAL_GERAL,2))</f>
        <v>4.95</v>
      </c>
      <c r="E10" s="132">
        <f>SG_01_02</f>
        <v>107912.53</v>
      </c>
    </row>
    <row r="11" spans="1:5" s="114" customFormat="1">
      <c r="A11" s="129" t="str">
        <f>Planilha!$B$27</f>
        <v>01.03</v>
      </c>
      <c r="B11" s="130" t="str">
        <f>Planilha!$C$27</f>
        <v>PAVIMENTAÇÃO DE VIA URBANA</v>
      </c>
      <c r="C11" s="131">
        <f t="shared" si="0"/>
        <v>41.67</v>
      </c>
      <c r="D11" s="131">
        <f t="shared" si="1"/>
        <v>6.24</v>
      </c>
      <c r="E11" s="132">
        <f>SG_01_03</f>
        <v>136162.69000000003</v>
      </c>
    </row>
    <row r="12" spans="1:5" s="114" customFormat="1">
      <c r="A12" s="129" t="str">
        <f>Planilha!$B$40</f>
        <v>01.04</v>
      </c>
      <c r="B12" s="130" t="str">
        <f>Planilha!$C$40</f>
        <v>DEMOLIÇÃO</v>
      </c>
      <c r="C12" s="131">
        <f t="shared" si="0"/>
        <v>1.67</v>
      </c>
      <c r="D12" s="131">
        <f t="shared" si="1"/>
        <v>0.25</v>
      </c>
      <c r="E12" s="132">
        <f>SG_01_04</f>
        <v>5448.68</v>
      </c>
    </row>
    <row r="13" spans="1:5" s="114" customFormat="1">
      <c r="A13" s="129" t="str">
        <f>Planilha!$B$44</f>
        <v>01.05</v>
      </c>
      <c r="B13" s="130" t="str">
        <f>Planilha!$C$44</f>
        <v>PAREDES</v>
      </c>
      <c r="C13" s="131">
        <f t="shared" si="0"/>
        <v>2.59</v>
      </c>
      <c r="D13" s="131">
        <f t="shared" si="1"/>
        <v>0.39</v>
      </c>
      <c r="E13" s="132">
        <f>SG_01_05</f>
        <v>8452.0400000000009</v>
      </c>
    </row>
    <row r="14" spans="1:5" s="114" customFormat="1">
      <c r="A14" s="129" t="str">
        <f>Planilha!$B$48</f>
        <v>01.06</v>
      </c>
      <c r="B14" s="133" t="str">
        <f>Planilha!$C$48</f>
        <v>PGRSCC, COMPLEMENTAÇÃO TRANSPORTE E DESTINAÇÃO FINAL</v>
      </c>
      <c r="C14" s="131">
        <f t="shared" si="0"/>
        <v>13.7</v>
      </c>
      <c r="D14" s="131">
        <f t="shared" si="1"/>
        <v>2.0499999999999998</v>
      </c>
      <c r="E14" s="132">
        <f>SG_01_06</f>
        <v>44758.1</v>
      </c>
    </row>
    <row r="15" spans="1:5" s="114" customFormat="1" hidden="1">
      <c r="A15" s="129" t="str">
        <f>Planilha!$B$52</f>
        <v>01.07</v>
      </c>
      <c r="B15" s="130" t="str">
        <f>Planilha!$C$52</f>
        <v>Sub-Grupo 01.07</v>
      </c>
      <c r="C15" s="131">
        <f t="shared" si="0"/>
        <v>0</v>
      </c>
      <c r="D15" s="131">
        <f t="shared" si="1"/>
        <v>0</v>
      </c>
      <c r="E15" s="132">
        <f>SG_01_07</f>
        <v>0</v>
      </c>
    </row>
    <row r="16" spans="1:5" s="114" customFormat="1" hidden="1">
      <c r="A16" s="129" t="str">
        <f>Planilha!$B$56</f>
        <v>01.08</v>
      </c>
      <c r="B16" s="130" t="str">
        <f>Planilha!$C$56</f>
        <v>Sub-Grupo 01.08</v>
      </c>
      <c r="C16" s="131">
        <f t="shared" si="0"/>
        <v>0</v>
      </c>
      <c r="D16" s="131">
        <f t="shared" si="1"/>
        <v>0</v>
      </c>
      <c r="E16" s="132">
        <f>SG_01_08</f>
        <v>0</v>
      </c>
    </row>
    <row r="17" spans="1:5" s="114" customFormat="1" hidden="1">
      <c r="A17" s="129" t="str">
        <f>Planilha!$B$60</f>
        <v>01.09</v>
      </c>
      <c r="B17" s="130" t="str">
        <f>Planilha!$C$60</f>
        <v>Sub-Grupo 01.09</v>
      </c>
      <c r="C17" s="131">
        <f t="shared" si="0"/>
        <v>0</v>
      </c>
      <c r="D17" s="131">
        <f t="shared" si="1"/>
        <v>0</v>
      </c>
      <c r="E17" s="132">
        <f>SG_01_09</f>
        <v>0</v>
      </c>
    </row>
    <row r="18" spans="1:5" s="114" customFormat="1" hidden="1">
      <c r="A18" s="129" t="str">
        <f>Planilha!$B$64</f>
        <v>01.10</v>
      </c>
      <c r="B18" s="130" t="str">
        <f>Planilha!$C$64</f>
        <v>Sub-Grupo 01.10</v>
      </c>
      <c r="C18" s="131">
        <f t="shared" si="0"/>
        <v>0</v>
      </c>
      <c r="D18" s="131">
        <f t="shared" si="1"/>
        <v>0</v>
      </c>
      <c r="E18" s="132">
        <f>SG_01_10</f>
        <v>0</v>
      </c>
    </row>
    <row r="19" spans="1:5" s="114" customFormat="1" hidden="1">
      <c r="A19" s="129" t="str">
        <f>Planilha!$B$68</f>
        <v>01.11</v>
      </c>
      <c r="B19" s="130" t="str">
        <f>Planilha!$C$68</f>
        <v>Sub-Grupo 01.11</v>
      </c>
      <c r="C19" s="131">
        <f t="shared" si="0"/>
        <v>0</v>
      </c>
      <c r="D19" s="131">
        <f t="shared" si="1"/>
        <v>0</v>
      </c>
      <c r="E19" s="132">
        <f>SG_01_11</f>
        <v>0</v>
      </c>
    </row>
    <row r="20" spans="1:5" s="114" customFormat="1" hidden="1">
      <c r="A20" s="129" t="str">
        <f>Planilha!$B$72</f>
        <v>01.12</v>
      </c>
      <c r="B20" s="130" t="str">
        <f>Planilha!$C$72</f>
        <v>Sub-Grupo 01.12</v>
      </c>
      <c r="C20" s="131">
        <f t="shared" si="0"/>
        <v>0</v>
      </c>
      <c r="D20" s="131">
        <f t="shared" si="1"/>
        <v>0</v>
      </c>
      <c r="E20" s="132">
        <f>SG_01_12</f>
        <v>0</v>
      </c>
    </row>
    <row r="21" spans="1:5" s="114" customFormat="1" hidden="1">
      <c r="A21" s="129" t="str">
        <f>Planilha!$B$76</f>
        <v>01.13</v>
      </c>
      <c r="B21" s="130" t="str">
        <f>Planilha!$C$76</f>
        <v>Sub-Grupo 01.13</v>
      </c>
      <c r="C21" s="131">
        <f t="shared" si="0"/>
        <v>0</v>
      </c>
      <c r="D21" s="131">
        <f t="shared" si="1"/>
        <v>0</v>
      </c>
      <c r="E21" s="132">
        <f>SG_01_13</f>
        <v>0</v>
      </c>
    </row>
    <row r="22" spans="1:5" s="114" customFormat="1" hidden="1">
      <c r="A22" s="129" t="str">
        <f>Planilha!$B$80</f>
        <v>01.14</v>
      </c>
      <c r="B22" s="130" t="str">
        <f>Planilha!$C$80</f>
        <v>Sub-Grupo 01.14</v>
      </c>
      <c r="C22" s="131">
        <f t="shared" si="0"/>
        <v>0</v>
      </c>
      <c r="D22" s="131">
        <f t="shared" si="1"/>
        <v>0</v>
      </c>
      <c r="E22" s="132">
        <f>SG_01_14</f>
        <v>0</v>
      </c>
    </row>
    <row r="23" spans="1:5" s="114" customFormat="1" hidden="1">
      <c r="A23" s="129" t="str">
        <f>Planilha!$B$84</f>
        <v>01.15</v>
      </c>
      <c r="B23" s="130" t="str">
        <f>Planilha!$C$84</f>
        <v>Sub-Grupo 01.15</v>
      </c>
      <c r="C23" s="131">
        <f t="shared" si="0"/>
        <v>0</v>
      </c>
      <c r="D23" s="131">
        <f t="shared" si="1"/>
        <v>0</v>
      </c>
      <c r="E23" s="132">
        <f>SG_01_15</f>
        <v>0</v>
      </c>
    </row>
    <row r="24" spans="1:5" s="114" customFormat="1" hidden="1">
      <c r="A24" s="129" t="str">
        <f>Planilha!$B$88</f>
        <v>01.16</v>
      </c>
      <c r="B24" s="130" t="str">
        <f>Planilha!$C$88</f>
        <v>Sub-Grupo 01.16</v>
      </c>
      <c r="C24" s="131">
        <f t="shared" si="0"/>
        <v>0</v>
      </c>
      <c r="D24" s="131">
        <f>IF(TOTAL_GERAL=0,0,ROUND(100*E24/TOTAL_GERAL,2))</f>
        <v>0</v>
      </c>
      <c r="E24" s="132">
        <f>SG_01_16</f>
        <v>0</v>
      </c>
    </row>
    <row r="25" spans="1:5" s="114" customFormat="1" hidden="1">
      <c r="A25" s="129" t="str">
        <f>Planilha!$B$92</f>
        <v>01.17</v>
      </c>
      <c r="B25" s="130" t="str">
        <f>Planilha!$C$92</f>
        <v>Sub-Grupo 01.17</v>
      </c>
      <c r="C25" s="131">
        <f t="shared" si="0"/>
        <v>0</v>
      </c>
      <c r="D25" s="131">
        <f>IF(TOTAL_GERAL=0,0,ROUND(100*E25/TOTAL_GERAL,2))</f>
        <v>0</v>
      </c>
      <c r="E25" s="132">
        <f>SG_01_17</f>
        <v>0</v>
      </c>
    </row>
    <row r="26" spans="1:5" s="114" customFormat="1" hidden="1">
      <c r="A26" s="129" t="str">
        <f>Planilha!$B$96</f>
        <v>01.18</v>
      </c>
      <c r="B26" s="130" t="str">
        <f>Planilha!$C$96</f>
        <v>Sub-Grupo 01.18</v>
      </c>
      <c r="C26" s="131">
        <f>IF(G_01=0,0,ROUND(100*E26/G_01,2))</f>
        <v>0</v>
      </c>
      <c r="D26" s="131">
        <f>IF(TOTAL_GERAL=0,0,ROUND(100*E26/TOTAL_GERAL,2))</f>
        <v>0</v>
      </c>
      <c r="E26" s="132">
        <f>SG_01_18</f>
        <v>0</v>
      </c>
    </row>
    <row r="27" spans="1:5" s="114" customFormat="1" hidden="1">
      <c r="A27" s="129" t="str">
        <f>Planilha!$B$100</f>
        <v>01.19</v>
      </c>
      <c r="B27" s="130" t="str">
        <f>Planilha!$C$100</f>
        <v>Sub-Grupo 01.19</v>
      </c>
      <c r="C27" s="131">
        <f>IF(G_01=0,0,ROUND(100*E27/G_01,2))</f>
        <v>0</v>
      </c>
      <c r="D27" s="131">
        <f>IF(TOTAL_GERAL=0,0,ROUND(100*E27/TOTAL_GERAL,2))</f>
        <v>0</v>
      </c>
      <c r="E27" s="132">
        <f>SG_01_19</f>
        <v>0</v>
      </c>
    </row>
    <row r="28" spans="1:5" s="114" customFormat="1" hidden="1">
      <c r="A28" s="129" t="str">
        <f>Planilha!$B$104</f>
        <v>01.20</v>
      </c>
      <c r="B28" s="130" t="str">
        <f>Planilha!$C$104</f>
        <v>Sub-Grupo 01.20</v>
      </c>
      <c r="C28" s="131">
        <f>IF(G_01=0,0,ROUND(100*E28/G_01,2))</f>
        <v>0</v>
      </c>
      <c r="D28" s="131">
        <f>IF(TOTAL_GERAL=0,0,ROUND(100*E28/TOTAL_GERAL,2))</f>
        <v>0</v>
      </c>
      <c r="E28" s="132">
        <f>SG_01_20</f>
        <v>0</v>
      </c>
    </row>
    <row r="29" spans="1:5" s="114" customFormat="1">
      <c r="A29" s="124" t="str">
        <f>Planilha!$B$109</f>
        <v>02</v>
      </c>
      <c r="B29" s="125" t="str">
        <f>Planilha!$C$109</f>
        <v>SERVIÇOS DE EXPANSÃO - ÁGUA</v>
      </c>
      <c r="C29" s="126"/>
      <c r="D29" s="127">
        <f>IF(TOTAL_GERAL=0,0,ROUND(100*G_02/TOTAL_GERAL,2))</f>
        <v>33.409999999999997</v>
      </c>
      <c r="E29" s="128">
        <f>G_02</f>
        <v>728741.82000000007</v>
      </c>
    </row>
    <row r="30" spans="1:5" s="114" customFormat="1">
      <c r="A30" s="129" t="str">
        <f>Planilha!$B$110</f>
        <v>02.01</v>
      </c>
      <c r="B30" s="133" t="str">
        <f>Planilha!$C$110</f>
        <v>LIGAÇÃO PREDIAL COM DEMOLIÇÃO DO PAVIMENTO</v>
      </c>
      <c r="C30" s="131">
        <f>IF(G_02=0,0,ROUND(100*E30/G_02,2))</f>
        <v>21.15</v>
      </c>
      <c r="D30" s="131">
        <f>IF(TOTAL_GERAL=0,0,ROUND(100*E30/TOTAL_GERAL,2))</f>
        <v>7.06</v>
      </c>
      <c r="E30" s="132">
        <f>SG_02_01</f>
        <v>154099.53999999998</v>
      </c>
    </row>
    <row r="31" spans="1:5" s="114" customFormat="1">
      <c r="A31" s="129" t="str">
        <f>Planilha!$B$115</f>
        <v>02.02</v>
      </c>
      <c r="B31" s="133" t="str">
        <f>Planilha!$C$115</f>
        <v>ASSENTAMENTO DE TUB., INCLUSIVE TRANSPORTE, LIMPEZA E TESTE</v>
      </c>
      <c r="C31" s="131">
        <f t="shared" ref="C31:C46" si="2">IF(G_02=0,0,ROUND(100*E31/G_02,2))</f>
        <v>2.17</v>
      </c>
      <c r="D31" s="131">
        <f t="shared" ref="D31:D44" si="3">IF(TOTAL_GERAL=0,0,ROUND(100*E31/TOTAL_GERAL,2))</f>
        <v>0.73</v>
      </c>
      <c r="E31" s="132">
        <f>SG_02_02</f>
        <v>15829.600000000002</v>
      </c>
    </row>
    <row r="32" spans="1:5" s="114" customFormat="1">
      <c r="A32" s="129" t="str">
        <f>Planilha!$B$123</f>
        <v>02.03</v>
      </c>
      <c r="B32" s="130" t="str">
        <f>Planilha!$C$123</f>
        <v>INJETAMENTO EM REDE EXISTENTE</v>
      </c>
      <c r="C32" s="131">
        <f t="shared" si="2"/>
        <v>0.95</v>
      </c>
      <c r="D32" s="131">
        <f t="shared" si="3"/>
        <v>0.32</v>
      </c>
      <c r="E32" s="132">
        <f>SG_02_03</f>
        <v>6911.35</v>
      </c>
    </row>
    <row r="33" spans="1:5" s="114" customFormat="1">
      <c r="A33" s="129" t="str">
        <f>Planilha!$B$127</f>
        <v>02.04</v>
      </c>
      <c r="B33" s="130" t="str">
        <f>Planilha!$C$127</f>
        <v>BLOCO DE ANCORAGEM</v>
      </c>
      <c r="C33" s="131">
        <f t="shared" si="2"/>
        <v>1.85</v>
      </c>
      <c r="D33" s="131">
        <f t="shared" si="3"/>
        <v>0.62</v>
      </c>
      <c r="E33" s="132">
        <f>SG_02_04</f>
        <v>13484.849999999999</v>
      </c>
    </row>
    <row r="34" spans="1:5" s="114" customFormat="1">
      <c r="A34" s="129" t="str">
        <f>Planilha!$B$131</f>
        <v>02.05</v>
      </c>
      <c r="B34" s="130" t="str">
        <f>Planilha!$C$131</f>
        <v>SERVIÇOS EM REGISTRO</v>
      </c>
      <c r="C34" s="131">
        <f t="shared" si="2"/>
        <v>2.64</v>
      </c>
      <c r="D34" s="131">
        <f t="shared" si="3"/>
        <v>0.88</v>
      </c>
      <c r="E34" s="132">
        <f>SG_02_05</f>
        <v>19234.12</v>
      </c>
    </row>
    <row r="35" spans="1:5" s="114" customFormat="1">
      <c r="A35" s="129" t="str">
        <f>Planilha!$B$135</f>
        <v>02.06</v>
      </c>
      <c r="B35" s="130" t="str">
        <f>Planilha!$C$135</f>
        <v>DIVERSOS</v>
      </c>
      <c r="C35" s="131">
        <f t="shared" si="2"/>
        <v>71.239999999999995</v>
      </c>
      <c r="D35" s="131">
        <f t="shared" si="3"/>
        <v>23.8</v>
      </c>
      <c r="E35" s="132">
        <f>SG_02_06</f>
        <v>519182.36000000004</v>
      </c>
    </row>
    <row r="36" spans="1:5" s="114" customFormat="1" hidden="1">
      <c r="A36" s="129" t="str">
        <f>Planilha!$B$146</f>
        <v>02.07</v>
      </c>
      <c r="B36" s="130" t="str">
        <f>Planilha!$C$146</f>
        <v>Sub-Grupo 02.07</v>
      </c>
      <c r="C36" s="131">
        <f t="shared" si="2"/>
        <v>0</v>
      </c>
      <c r="D36" s="131">
        <f t="shared" si="3"/>
        <v>0</v>
      </c>
      <c r="E36" s="132">
        <f>SG_02_07</f>
        <v>0</v>
      </c>
    </row>
    <row r="37" spans="1:5" s="114" customFormat="1" hidden="1">
      <c r="A37" s="129" t="str">
        <f>Planilha!$B$150</f>
        <v>02.08</v>
      </c>
      <c r="B37" s="130" t="str">
        <f>Planilha!$C$150</f>
        <v>Sub-Grupo 02.08</v>
      </c>
      <c r="C37" s="131">
        <f t="shared" si="2"/>
        <v>0</v>
      </c>
      <c r="D37" s="131">
        <f t="shared" si="3"/>
        <v>0</v>
      </c>
      <c r="E37" s="132">
        <f>SG_02_08</f>
        <v>0</v>
      </c>
    </row>
    <row r="38" spans="1:5" s="114" customFormat="1" hidden="1">
      <c r="A38" s="129" t="str">
        <f>Planilha!$B$154</f>
        <v>02.09</v>
      </c>
      <c r="B38" s="130" t="str">
        <f>Planilha!$C$154</f>
        <v>Sub-Grupo 02.09</v>
      </c>
      <c r="C38" s="131">
        <f t="shared" si="2"/>
        <v>0</v>
      </c>
      <c r="D38" s="131">
        <f t="shared" si="3"/>
        <v>0</v>
      </c>
      <c r="E38" s="132">
        <f>SG_02_09</f>
        <v>0</v>
      </c>
    </row>
    <row r="39" spans="1:5" s="114" customFormat="1" hidden="1">
      <c r="A39" s="129" t="str">
        <f>Planilha!$B$158</f>
        <v>02.10</v>
      </c>
      <c r="B39" s="130" t="str">
        <f>Planilha!$C$158</f>
        <v>Sub-Grupo 02.10</v>
      </c>
      <c r="C39" s="131">
        <f t="shared" si="2"/>
        <v>0</v>
      </c>
      <c r="D39" s="131">
        <f t="shared" si="3"/>
        <v>0</v>
      </c>
      <c r="E39" s="132">
        <f>SG_02_10</f>
        <v>0</v>
      </c>
    </row>
    <row r="40" spans="1:5" s="114" customFormat="1" hidden="1">
      <c r="A40" s="129" t="str">
        <f>Planilha!$B$162</f>
        <v>02.11</v>
      </c>
      <c r="B40" s="130" t="str">
        <f>Planilha!$C$162</f>
        <v>Sub-Grupo 02.11</v>
      </c>
      <c r="C40" s="131">
        <f t="shared" si="2"/>
        <v>0</v>
      </c>
      <c r="D40" s="131">
        <f t="shared" si="3"/>
        <v>0</v>
      </c>
      <c r="E40" s="132">
        <f>SG_02_11</f>
        <v>0</v>
      </c>
    </row>
    <row r="41" spans="1:5" s="114" customFormat="1" hidden="1">
      <c r="A41" s="129" t="str">
        <f>Planilha!$B$166</f>
        <v>02.12</v>
      </c>
      <c r="B41" s="130" t="str">
        <f>Planilha!$C$166</f>
        <v>Sub-Grupo 02.12</v>
      </c>
      <c r="C41" s="131">
        <f t="shared" si="2"/>
        <v>0</v>
      </c>
      <c r="D41" s="131">
        <f t="shared" si="3"/>
        <v>0</v>
      </c>
      <c r="E41" s="132">
        <f>SG_02_12</f>
        <v>0</v>
      </c>
    </row>
    <row r="42" spans="1:5" s="114" customFormat="1" hidden="1">
      <c r="A42" s="129" t="str">
        <f>Planilha!$B$170</f>
        <v>02.13</v>
      </c>
      <c r="B42" s="130" t="str">
        <f>Planilha!$C$170</f>
        <v>Sub-Grupo 02.13</v>
      </c>
      <c r="C42" s="131">
        <f t="shared" si="2"/>
        <v>0</v>
      </c>
      <c r="D42" s="131">
        <f t="shared" si="3"/>
        <v>0</v>
      </c>
      <c r="E42" s="132">
        <f>SG_02_13</f>
        <v>0</v>
      </c>
    </row>
    <row r="43" spans="1:5" s="114" customFormat="1" hidden="1">
      <c r="A43" s="129" t="str">
        <f>Planilha!$B$174</f>
        <v>02.14</v>
      </c>
      <c r="B43" s="130" t="str">
        <f>Planilha!$C$174</f>
        <v>Sub-Grupo 02.14</v>
      </c>
      <c r="C43" s="131">
        <f t="shared" si="2"/>
        <v>0</v>
      </c>
      <c r="D43" s="131">
        <f t="shared" si="3"/>
        <v>0</v>
      </c>
      <c r="E43" s="132">
        <f>SG_02_14</f>
        <v>0</v>
      </c>
    </row>
    <row r="44" spans="1:5" s="114" customFormat="1" hidden="1">
      <c r="A44" s="129" t="str">
        <f>Planilha!$B$178</f>
        <v>02.15</v>
      </c>
      <c r="B44" s="130" t="str">
        <f>Planilha!$C$178</f>
        <v>Sub-Grupo 02.15</v>
      </c>
      <c r="C44" s="131">
        <f t="shared" si="2"/>
        <v>0</v>
      </c>
      <c r="D44" s="131">
        <f t="shared" si="3"/>
        <v>0</v>
      </c>
      <c r="E44" s="132">
        <f>SG_02_15</f>
        <v>0</v>
      </c>
    </row>
    <row r="45" spans="1:5" s="114" customFormat="1" hidden="1">
      <c r="A45" s="129" t="str">
        <f>Planilha!$B$182</f>
        <v>02.16</v>
      </c>
      <c r="B45" s="130" t="str">
        <f>Planilha!$C$182</f>
        <v>Sub-Grupo 02.16</v>
      </c>
      <c r="C45" s="131">
        <f t="shared" si="2"/>
        <v>0</v>
      </c>
      <c r="D45" s="131">
        <f>IF(TOTAL_GERAL=0,0,ROUND(100*E45/TOTAL_GERAL,2))</f>
        <v>0</v>
      </c>
      <c r="E45" s="132">
        <f>SG_02_16</f>
        <v>0</v>
      </c>
    </row>
    <row r="46" spans="1:5" s="114" customFormat="1" hidden="1">
      <c r="A46" s="129" t="str">
        <f>Planilha!$B$186</f>
        <v>02.17</v>
      </c>
      <c r="B46" s="130" t="str">
        <f>Planilha!$C$186</f>
        <v>Sub-Grupo 02.17</v>
      </c>
      <c r="C46" s="131">
        <f t="shared" si="2"/>
        <v>0</v>
      </c>
      <c r="D46" s="131">
        <f>IF(TOTAL_GERAL=0,0,ROUND(100*E46/TOTAL_GERAL,2))</f>
        <v>0</v>
      </c>
      <c r="E46" s="132">
        <f>SG_02_17</f>
        <v>0</v>
      </c>
    </row>
    <row r="47" spans="1:5" s="114" customFormat="1" hidden="1">
      <c r="A47" s="129" t="str">
        <f>Planilha!$B$190</f>
        <v>02.18</v>
      </c>
      <c r="B47" s="130" t="str">
        <f>Planilha!$C$190</f>
        <v>Sub-Grupo 02.18</v>
      </c>
      <c r="C47" s="131">
        <f>IF(G_02=0,0,ROUND(100*E47/G_02,2))</f>
        <v>0</v>
      </c>
      <c r="D47" s="131">
        <f>IF(TOTAL_GERAL=0,0,ROUND(100*E47/TOTAL_GERAL,2))</f>
        <v>0</v>
      </c>
      <c r="E47" s="132">
        <f>SG_02_18</f>
        <v>0</v>
      </c>
    </row>
    <row r="48" spans="1:5" s="114" customFormat="1" hidden="1">
      <c r="A48" s="129" t="str">
        <f>Planilha!$B$194</f>
        <v>02.19</v>
      </c>
      <c r="B48" s="130" t="str">
        <f>Planilha!$C$194</f>
        <v>Sub-Grupo 02.19</v>
      </c>
      <c r="C48" s="131">
        <f>IF(G_02=0,0,ROUND(100*E48/G_02,2))</f>
        <v>0</v>
      </c>
      <c r="D48" s="131">
        <f>IF(TOTAL_GERAL=0,0,ROUND(100*E48/TOTAL_GERAL,2))</f>
        <v>0</v>
      </c>
      <c r="E48" s="132">
        <f>SG_02_19</f>
        <v>0</v>
      </c>
    </row>
    <row r="49" spans="1:5" s="114" customFormat="1" hidden="1">
      <c r="A49" s="129" t="str">
        <f>Planilha!$B$198</f>
        <v>02.20</v>
      </c>
      <c r="B49" s="130" t="str">
        <f>Planilha!$C$198</f>
        <v>Sub-Grupo 02.20</v>
      </c>
      <c r="C49" s="131">
        <f>IF(G_02=0,0,ROUND(100*E49/G_02,2))</f>
        <v>0</v>
      </c>
      <c r="D49" s="131">
        <f>IF(TOTAL_GERAL=0,0,ROUND(100*E49/TOTAL_GERAL,2))</f>
        <v>0</v>
      </c>
      <c r="E49" s="132">
        <f>SG_02_20</f>
        <v>0</v>
      </c>
    </row>
    <row r="50" spans="1:5" s="114" customFormat="1">
      <c r="A50" s="124" t="str">
        <f>Planilha!$B$203</f>
        <v>03</v>
      </c>
      <c r="B50" s="125" t="str">
        <f>Planilha!$C$203</f>
        <v>SERVIÇOS DE EXPANSÃO - ESGOTO</v>
      </c>
      <c r="C50" s="126"/>
      <c r="D50" s="127">
        <f>IF(TOTAL_GERAL=0,0,ROUND(100*G_03/TOTAL_GERAL,2))</f>
        <v>40.26</v>
      </c>
      <c r="E50" s="128">
        <f>G_03</f>
        <v>878154.42999999993</v>
      </c>
    </row>
    <row r="51" spans="1:5" s="114" customFormat="1">
      <c r="A51" s="129" t="str">
        <f>Planilha!$B$204</f>
        <v>03.01</v>
      </c>
      <c r="B51" s="133" t="str">
        <f>Planilha!$C$204</f>
        <v>LIGAÇÃO PREDIAL DE ESGOTO EM QUALQUER PROFUNDIDADE</v>
      </c>
      <c r="C51" s="131">
        <f>IF(G_03=0,0,ROUND(100*E51/G_03,2))</f>
        <v>34.85</v>
      </c>
      <c r="D51" s="131">
        <f>IF(TOTAL_GERAL=0,0,ROUND(100*E51/TOTAL_GERAL,2))</f>
        <v>14.03</v>
      </c>
      <c r="E51" s="132">
        <f>SG_03_01</f>
        <v>305993.52999999997</v>
      </c>
    </row>
    <row r="52" spans="1:5" s="114" customFormat="1">
      <c r="A52" s="129" t="str">
        <f>Planilha!$B$211</f>
        <v>03.02</v>
      </c>
      <c r="B52" s="130" t="str">
        <f>Planilha!$C$211</f>
        <v>LIGAÇÕES INTRADOMICILIARES DE ESGOTO</v>
      </c>
      <c r="C52" s="131">
        <f t="shared" ref="C52:C67" si="4">IF(G_03=0,0,ROUND(100*E52/G_03,2))</f>
        <v>51.36</v>
      </c>
      <c r="D52" s="131">
        <f t="shared" ref="D52:D65" si="5">IF(TOTAL_GERAL=0,0,ROUND(100*E52/TOTAL_GERAL,2))</f>
        <v>20.68</v>
      </c>
      <c r="E52" s="132">
        <f>SG_03_02</f>
        <v>451049.15</v>
      </c>
    </row>
    <row r="53" spans="1:5" s="114" customFormat="1">
      <c r="A53" s="129" t="str">
        <f>Planilha!$B$218</f>
        <v>03.03</v>
      </c>
      <c r="B53" s="130" t="str">
        <f>Planilha!$C$218</f>
        <v>REDE COLETORA DE ESGOTO</v>
      </c>
      <c r="C53" s="131">
        <f t="shared" si="4"/>
        <v>2.94</v>
      </c>
      <c r="D53" s="131">
        <f t="shared" si="5"/>
        <v>1.18</v>
      </c>
      <c r="E53" s="132">
        <f>SG_03_03</f>
        <v>25845.79</v>
      </c>
    </row>
    <row r="54" spans="1:5" s="114" customFormat="1">
      <c r="A54" s="129" t="str">
        <f>Planilha!$B$224</f>
        <v>03.04</v>
      </c>
      <c r="B54" s="133" t="str">
        <f>Planilha!$C$224</f>
        <v>POÇOS DE VISITA PRÉ-MOLDADOS (PADRÃO CAGECE)</v>
      </c>
      <c r="C54" s="131">
        <f t="shared" si="4"/>
        <v>5.14</v>
      </c>
      <c r="D54" s="131">
        <f t="shared" si="5"/>
        <v>2.0699999999999998</v>
      </c>
      <c r="E54" s="132">
        <f>SG_03_04</f>
        <v>45164.849999999991</v>
      </c>
    </row>
    <row r="55" spans="1:5" s="114" customFormat="1">
      <c r="A55" s="129" t="str">
        <f>Planilha!$B$232</f>
        <v>03.05</v>
      </c>
      <c r="B55" s="130" t="str">
        <f>Planilha!$C$232</f>
        <v>OUTROS SERVIÇOS DE ESGOTO</v>
      </c>
      <c r="C55" s="131">
        <f t="shared" si="4"/>
        <v>2.3199999999999998</v>
      </c>
      <c r="D55" s="131">
        <f t="shared" si="5"/>
        <v>0.93</v>
      </c>
      <c r="E55" s="132">
        <f>SG_03_05</f>
        <v>20332.73</v>
      </c>
    </row>
    <row r="56" spans="1:5" s="114" customFormat="1">
      <c r="A56" s="129" t="str">
        <f>Planilha!$B$239</f>
        <v>03.06</v>
      </c>
      <c r="B56" s="133" t="str">
        <f>Planilha!$C$239</f>
        <v>FORNECIMENTO DE TUBULAÇÃO, CONEXÕES E ACESSÓRIOS</v>
      </c>
      <c r="C56" s="131">
        <f t="shared" si="4"/>
        <v>3.39</v>
      </c>
      <c r="D56" s="131">
        <f t="shared" si="5"/>
        <v>1.36</v>
      </c>
      <c r="E56" s="132">
        <f>SG_03_06</f>
        <v>29768.379999999997</v>
      </c>
    </row>
    <row r="57" spans="1:5" s="114" customFormat="1" hidden="1">
      <c r="A57" s="129" t="str">
        <f>Planilha!$B$257</f>
        <v>03.07</v>
      </c>
      <c r="B57" s="130" t="str">
        <f>Planilha!$C$257</f>
        <v>Sub-Grupo 03.07</v>
      </c>
      <c r="C57" s="131">
        <f t="shared" si="4"/>
        <v>0</v>
      </c>
      <c r="D57" s="131">
        <f t="shared" si="5"/>
        <v>0</v>
      </c>
      <c r="E57" s="132">
        <f>SG_03_07</f>
        <v>0</v>
      </c>
    </row>
    <row r="58" spans="1:5" s="114" customFormat="1" hidden="1">
      <c r="A58" s="129" t="str">
        <f>Planilha!$B$261</f>
        <v>03.08</v>
      </c>
      <c r="B58" s="130" t="str">
        <f>Planilha!$C$261</f>
        <v>Sub-Grupo 03.08</v>
      </c>
      <c r="C58" s="131">
        <f t="shared" si="4"/>
        <v>0</v>
      </c>
      <c r="D58" s="131">
        <f t="shared" si="5"/>
        <v>0</v>
      </c>
      <c r="E58" s="132">
        <f>SG_03_08</f>
        <v>0</v>
      </c>
    </row>
    <row r="59" spans="1:5" s="114" customFormat="1" hidden="1">
      <c r="A59" s="129" t="str">
        <f>Planilha!$B$265</f>
        <v>03.09</v>
      </c>
      <c r="B59" s="130" t="str">
        <f>Planilha!$C$265</f>
        <v>Sub-Grupo 03.09</v>
      </c>
      <c r="C59" s="131">
        <f t="shared" si="4"/>
        <v>0</v>
      </c>
      <c r="D59" s="131">
        <f t="shared" si="5"/>
        <v>0</v>
      </c>
      <c r="E59" s="132">
        <f>SG_03_09</f>
        <v>0</v>
      </c>
    </row>
    <row r="60" spans="1:5" s="114" customFormat="1" hidden="1">
      <c r="A60" s="129" t="str">
        <f>Planilha!$B$269</f>
        <v>03.10</v>
      </c>
      <c r="B60" s="130" t="str">
        <f>Planilha!$C$269</f>
        <v>Sub-Grupo 03.10</v>
      </c>
      <c r="C60" s="131">
        <f t="shared" si="4"/>
        <v>0</v>
      </c>
      <c r="D60" s="131">
        <f t="shared" si="5"/>
        <v>0</v>
      </c>
      <c r="E60" s="132">
        <f>SG_03_10</f>
        <v>0</v>
      </c>
    </row>
    <row r="61" spans="1:5" s="114" customFormat="1" hidden="1">
      <c r="A61" s="129" t="str">
        <f>Planilha!$B$273</f>
        <v>03.11</v>
      </c>
      <c r="B61" s="130" t="str">
        <f>Planilha!$C$273</f>
        <v>Sub-Grupo 03.11</v>
      </c>
      <c r="C61" s="131">
        <f t="shared" si="4"/>
        <v>0</v>
      </c>
      <c r="D61" s="131">
        <f t="shared" si="5"/>
        <v>0</v>
      </c>
      <c r="E61" s="132">
        <f>SG_03_11</f>
        <v>0</v>
      </c>
    </row>
    <row r="62" spans="1:5" s="114" customFormat="1" hidden="1">
      <c r="A62" s="129" t="str">
        <f>Planilha!$B$277</f>
        <v>03.12</v>
      </c>
      <c r="B62" s="130" t="str">
        <f>Planilha!$C$277</f>
        <v>Sub-Grupo 03.12</v>
      </c>
      <c r="C62" s="131">
        <f t="shared" si="4"/>
        <v>0</v>
      </c>
      <c r="D62" s="131">
        <f t="shared" si="5"/>
        <v>0</v>
      </c>
      <c r="E62" s="132">
        <f>SG_03_12</f>
        <v>0</v>
      </c>
    </row>
    <row r="63" spans="1:5" s="114" customFormat="1" hidden="1">
      <c r="A63" s="129" t="str">
        <f>Planilha!$B$281</f>
        <v>03.13</v>
      </c>
      <c r="B63" s="130" t="str">
        <f>Planilha!$C$281</f>
        <v>Sub-Grupo 03.13</v>
      </c>
      <c r="C63" s="131">
        <f t="shared" si="4"/>
        <v>0</v>
      </c>
      <c r="D63" s="131">
        <f t="shared" si="5"/>
        <v>0</v>
      </c>
      <c r="E63" s="132">
        <f>SG_03_13</f>
        <v>0</v>
      </c>
    </row>
    <row r="64" spans="1:5" s="114" customFormat="1" hidden="1">
      <c r="A64" s="129" t="str">
        <f>Planilha!$B$285</f>
        <v>03.14</v>
      </c>
      <c r="B64" s="130" t="str">
        <f>Planilha!$C$285</f>
        <v>Sub-Grupo 03.14</v>
      </c>
      <c r="C64" s="131">
        <f t="shared" si="4"/>
        <v>0</v>
      </c>
      <c r="D64" s="131">
        <f t="shared" si="5"/>
        <v>0</v>
      </c>
      <c r="E64" s="132">
        <f>SG_03_14</f>
        <v>0</v>
      </c>
    </row>
    <row r="65" spans="1:5" s="114" customFormat="1" hidden="1">
      <c r="A65" s="129" t="str">
        <f>Planilha!$B$289</f>
        <v>03.15</v>
      </c>
      <c r="B65" s="130" t="str">
        <f>Planilha!$C$289</f>
        <v>Sub-Grupo 03.15</v>
      </c>
      <c r="C65" s="131">
        <f t="shared" si="4"/>
        <v>0</v>
      </c>
      <c r="D65" s="131">
        <f t="shared" si="5"/>
        <v>0</v>
      </c>
      <c r="E65" s="132">
        <f>SG_03_15</f>
        <v>0</v>
      </c>
    </row>
    <row r="66" spans="1:5" s="114" customFormat="1" hidden="1">
      <c r="A66" s="129" t="str">
        <f>Planilha!$B$293</f>
        <v>03.16</v>
      </c>
      <c r="B66" s="130" t="str">
        <f>Planilha!$C$293</f>
        <v>Sub-Grupo 03.16</v>
      </c>
      <c r="C66" s="131">
        <f t="shared" si="4"/>
        <v>0</v>
      </c>
      <c r="D66" s="131">
        <f>IF(TOTAL_GERAL=0,0,ROUND(100*E66/TOTAL_GERAL,2))</f>
        <v>0</v>
      </c>
      <c r="E66" s="132">
        <f>SG_03_16</f>
        <v>0</v>
      </c>
    </row>
    <row r="67" spans="1:5" s="114" customFormat="1" hidden="1">
      <c r="A67" s="129" t="str">
        <f>Planilha!$B$297</f>
        <v>03.17</v>
      </c>
      <c r="B67" s="130" t="str">
        <f>Planilha!$C$297</f>
        <v>Sub-Grupo 03.17</v>
      </c>
      <c r="C67" s="131">
        <f t="shared" si="4"/>
        <v>0</v>
      </c>
      <c r="D67" s="131">
        <f>IF(TOTAL_GERAL=0,0,ROUND(100*E67/TOTAL_GERAL,2))</f>
        <v>0</v>
      </c>
      <c r="E67" s="132">
        <f>SG_03_17</f>
        <v>0</v>
      </c>
    </row>
    <row r="68" spans="1:5" s="114" customFormat="1" hidden="1">
      <c r="A68" s="129" t="str">
        <f>Planilha!$B$301</f>
        <v>03.18</v>
      </c>
      <c r="B68" s="130" t="str">
        <f>Planilha!$C$301</f>
        <v>Sub-Grupo 03.18</v>
      </c>
      <c r="C68" s="131">
        <f>IF(G_03=0,0,ROUND(100*E68/G_03,2))</f>
        <v>0</v>
      </c>
      <c r="D68" s="131">
        <f>IF(TOTAL_GERAL=0,0,ROUND(100*E68/TOTAL_GERAL,2))</f>
        <v>0</v>
      </c>
      <c r="E68" s="132">
        <f>SG_03_18</f>
        <v>0</v>
      </c>
    </row>
    <row r="69" spans="1:5" s="114" customFormat="1" hidden="1">
      <c r="A69" s="129" t="str">
        <f>Planilha!$B$305</f>
        <v>03.19</v>
      </c>
      <c r="B69" s="130" t="str">
        <f>Planilha!$C$305</f>
        <v>Sub-Grupo 03.19</v>
      </c>
      <c r="C69" s="131">
        <f>IF(G_03=0,0,ROUND(100*E69/G_03,2))</f>
        <v>0</v>
      </c>
      <c r="D69" s="131">
        <f>IF(TOTAL_GERAL=0,0,ROUND(100*E69/TOTAL_GERAL,2))</f>
        <v>0</v>
      </c>
      <c r="E69" s="132">
        <f>SG_03_19</f>
        <v>0</v>
      </c>
    </row>
    <row r="70" spans="1:5" s="114" customFormat="1" hidden="1">
      <c r="A70" s="129" t="str">
        <f>Planilha!$B$309</f>
        <v>03.20</v>
      </c>
      <c r="B70" s="130" t="str">
        <f>Planilha!$C$309</f>
        <v>Sub-Grupo 03.20</v>
      </c>
      <c r="C70" s="131">
        <f>IF(G_03=0,0,ROUND(100*E70/G_03,2))</f>
        <v>0</v>
      </c>
      <c r="D70" s="131">
        <f>IF(TOTAL_GERAL=0,0,ROUND(100*E70/TOTAL_GERAL,2))</f>
        <v>0</v>
      </c>
      <c r="E70" s="132">
        <f>SG_03_20</f>
        <v>0</v>
      </c>
    </row>
    <row r="71" spans="1:5" s="114" customFormat="1">
      <c r="A71" s="124" t="str">
        <f>Planilha!$B$314</f>
        <v>04</v>
      </c>
      <c r="B71" s="125" t="str">
        <f>Planilha!$C$314</f>
        <v>CANTEIRO DE OBRAS</v>
      </c>
      <c r="C71" s="126"/>
      <c r="D71" s="127">
        <f>IF(TOTAL_GERAL=0,0,ROUND(100*G_04/TOTAL_GERAL,2))</f>
        <v>4.8099999999999996</v>
      </c>
      <c r="E71" s="128">
        <f>G_04</f>
        <v>104983.57</v>
      </c>
    </row>
    <row r="72" spans="1:5" s="114" customFormat="1">
      <c r="A72" s="129" t="str">
        <f>Planilha!$B$315</f>
        <v>04.01</v>
      </c>
      <c r="B72" s="130" t="str">
        <f>Planilha!$C$315</f>
        <v>INSTALAÇÃO DO CANTEIRO</v>
      </c>
      <c r="C72" s="131">
        <f>IF(G_04=0,0,ROUND(100*E72/G_04,2))</f>
        <v>100</v>
      </c>
      <c r="D72" s="131">
        <f>IF(TOTAL_GERAL=0,0,ROUND(100*E72/TOTAL_GERAL,2))</f>
        <v>4.8099999999999996</v>
      </c>
      <c r="E72" s="132">
        <f>SG_04_01</f>
        <v>104983.57</v>
      </c>
    </row>
    <row r="73" spans="1:5" s="114" customFormat="1" hidden="1">
      <c r="A73" s="129" t="str">
        <f>Planilha!$B$331</f>
        <v>04.02</v>
      </c>
      <c r="B73" s="130" t="str">
        <f>Planilha!$C$331</f>
        <v>Sub-Grupo 04.02</v>
      </c>
      <c r="C73" s="131">
        <f t="shared" ref="C73:C88" si="6">IF(G_04=0,0,ROUND(100*E73/G_04,2))</f>
        <v>0</v>
      </c>
      <c r="D73" s="131">
        <f t="shared" ref="D73:D86" si="7">IF(TOTAL_GERAL=0,0,ROUND(100*E73/TOTAL_GERAL,2))</f>
        <v>0</v>
      </c>
      <c r="E73" s="132">
        <f>SG_04_02</f>
        <v>0</v>
      </c>
    </row>
    <row r="74" spans="1:5" s="114" customFormat="1" hidden="1">
      <c r="A74" s="129" t="str">
        <f>Planilha!$B$335</f>
        <v>04.03</v>
      </c>
      <c r="B74" s="130" t="str">
        <f>Planilha!$C$335</f>
        <v>Sub-Grupo 04.03</v>
      </c>
      <c r="C74" s="131">
        <f t="shared" si="6"/>
        <v>0</v>
      </c>
      <c r="D74" s="131">
        <f t="shared" si="7"/>
        <v>0</v>
      </c>
      <c r="E74" s="132">
        <f>SG_04_03</f>
        <v>0</v>
      </c>
    </row>
    <row r="75" spans="1:5" s="114" customFormat="1" hidden="1">
      <c r="A75" s="129" t="str">
        <f>Planilha!$B$339</f>
        <v>04.04</v>
      </c>
      <c r="B75" s="130" t="str">
        <f>Planilha!$C$339</f>
        <v>Sub-Grupo 04.04</v>
      </c>
      <c r="C75" s="131">
        <f t="shared" si="6"/>
        <v>0</v>
      </c>
      <c r="D75" s="131">
        <f t="shared" si="7"/>
        <v>0</v>
      </c>
      <c r="E75" s="132">
        <f>SG_04_04</f>
        <v>0</v>
      </c>
    </row>
    <row r="76" spans="1:5" s="114" customFormat="1" hidden="1">
      <c r="A76" s="129" t="str">
        <f>Planilha!$B$343</f>
        <v>04.05</v>
      </c>
      <c r="B76" s="130" t="str">
        <f>Planilha!$C$343</f>
        <v>Sub-Grupo 04.05</v>
      </c>
      <c r="C76" s="131">
        <f t="shared" si="6"/>
        <v>0</v>
      </c>
      <c r="D76" s="131">
        <f t="shared" si="7"/>
        <v>0</v>
      </c>
      <c r="E76" s="132">
        <f>SG_04_05</f>
        <v>0</v>
      </c>
    </row>
    <row r="77" spans="1:5" s="114" customFormat="1" hidden="1">
      <c r="A77" s="129" t="str">
        <f>Planilha!$B$347</f>
        <v>04.06</v>
      </c>
      <c r="B77" s="130" t="str">
        <f>Planilha!$C$347</f>
        <v>Sub-Grupo 04.06</v>
      </c>
      <c r="C77" s="131">
        <f t="shared" si="6"/>
        <v>0</v>
      </c>
      <c r="D77" s="131">
        <f t="shared" si="7"/>
        <v>0</v>
      </c>
      <c r="E77" s="132">
        <f>SG_04_06</f>
        <v>0</v>
      </c>
    </row>
    <row r="78" spans="1:5" s="114" customFormat="1" hidden="1">
      <c r="A78" s="129" t="str">
        <f>Planilha!$B$351</f>
        <v>04.07</v>
      </c>
      <c r="B78" s="130" t="str">
        <f>Planilha!$C$351</f>
        <v>Sub-Grupo 04.07</v>
      </c>
      <c r="C78" s="131">
        <f t="shared" si="6"/>
        <v>0</v>
      </c>
      <c r="D78" s="131">
        <f t="shared" si="7"/>
        <v>0</v>
      </c>
      <c r="E78" s="132">
        <f>SG_04_07</f>
        <v>0</v>
      </c>
    </row>
    <row r="79" spans="1:5" s="114" customFormat="1" hidden="1">
      <c r="A79" s="129" t="str">
        <f>Planilha!$B$355</f>
        <v>04.08</v>
      </c>
      <c r="B79" s="130" t="str">
        <f>Planilha!$C$355</f>
        <v>Sub-Grupo 04.08</v>
      </c>
      <c r="C79" s="131">
        <f t="shared" si="6"/>
        <v>0</v>
      </c>
      <c r="D79" s="131">
        <f t="shared" si="7"/>
        <v>0</v>
      </c>
      <c r="E79" s="132">
        <f>SG_04_08</f>
        <v>0</v>
      </c>
    </row>
    <row r="80" spans="1:5" s="114" customFormat="1" hidden="1">
      <c r="A80" s="129" t="str">
        <f>Planilha!$B$359</f>
        <v>04.09</v>
      </c>
      <c r="B80" s="130" t="str">
        <f>Planilha!$C$359</f>
        <v>Sub-Grupo 04.09</v>
      </c>
      <c r="C80" s="131">
        <f t="shared" si="6"/>
        <v>0</v>
      </c>
      <c r="D80" s="131">
        <f t="shared" si="7"/>
        <v>0</v>
      </c>
      <c r="E80" s="132">
        <f>SG_04_09</f>
        <v>0</v>
      </c>
    </row>
    <row r="81" spans="1:5" s="114" customFormat="1" hidden="1">
      <c r="A81" s="129" t="str">
        <f>Planilha!$B$363</f>
        <v>04.10</v>
      </c>
      <c r="B81" s="130" t="str">
        <f>Planilha!$C$363</f>
        <v>Sub-Grupo 04.10</v>
      </c>
      <c r="C81" s="131">
        <f t="shared" si="6"/>
        <v>0</v>
      </c>
      <c r="D81" s="131">
        <f t="shared" si="7"/>
        <v>0</v>
      </c>
      <c r="E81" s="132">
        <f>SG_04_10</f>
        <v>0</v>
      </c>
    </row>
    <row r="82" spans="1:5" s="114" customFormat="1" hidden="1">
      <c r="A82" s="129" t="str">
        <f>Planilha!$B$367</f>
        <v>04.11</v>
      </c>
      <c r="B82" s="130" t="str">
        <f>Planilha!$C$367</f>
        <v>Sub-Grupo 04.11</v>
      </c>
      <c r="C82" s="131">
        <f t="shared" si="6"/>
        <v>0</v>
      </c>
      <c r="D82" s="131">
        <f t="shared" si="7"/>
        <v>0</v>
      </c>
      <c r="E82" s="132">
        <f>SG_04_11</f>
        <v>0</v>
      </c>
    </row>
    <row r="83" spans="1:5" s="114" customFormat="1" hidden="1">
      <c r="A83" s="129" t="str">
        <f>Planilha!$B$371</f>
        <v>04.12</v>
      </c>
      <c r="B83" s="130" t="str">
        <f>Planilha!$C$371</f>
        <v>Sub-Grupo 04.12</v>
      </c>
      <c r="C83" s="131">
        <f t="shared" si="6"/>
        <v>0</v>
      </c>
      <c r="D83" s="131">
        <f t="shared" si="7"/>
        <v>0</v>
      </c>
      <c r="E83" s="132">
        <f>SG_04_12</f>
        <v>0</v>
      </c>
    </row>
    <row r="84" spans="1:5" s="114" customFormat="1" hidden="1">
      <c r="A84" s="129" t="str">
        <f>Planilha!$B$375</f>
        <v>04.13</v>
      </c>
      <c r="B84" s="130" t="str">
        <f>Planilha!$C$375</f>
        <v>Sub-Grupo 04.13</v>
      </c>
      <c r="C84" s="131">
        <f t="shared" si="6"/>
        <v>0</v>
      </c>
      <c r="D84" s="131">
        <f t="shared" si="7"/>
        <v>0</v>
      </c>
      <c r="E84" s="132">
        <f>SG_04_13</f>
        <v>0</v>
      </c>
    </row>
    <row r="85" spans="1:5" s="114" customFormat="1" hidden="1">
      <c r="A85" s="129" t="str">
        <f>Planilha!$B$379</f>
        <v>04.14</v>
      </c>
      <c r="B85" s="130" t="str">
        <f>Planilha!$C$379</f>
        <v>Sub-Grupo 04.14</v>
      </c>
      <c r="C85" s="131">
        <f t="shared" si="6"/>
        <v>0</v>
      </c>
      <c r="D85" s="131">
        <f t="shared" si="7"/>
        <v>0</v>
      </c>
      <c r="E85" s="132">
        <f>SG_04_14</f>
        <v>0</v>
      </c>
    </row>
    <row r="86" spans="1:5" s="114" customFormat="1" hidden="1">
      <c r="A86" s="129" t="str">
        <f>Planilha!$B$383</f>
        <v>04.15</v>
      </c>
      <c r="B86" s="130" t="str">
        <f>Planilha!$C$383</f>
        <v>Sub-Grupo 04.15</v>
      </c>
      <c r="C86" s="131">
        <f t="shared" si="6"/>
        <v>0</v>
      </c>
      <c r="D86" s="131">
        <f t="shared" si="7"/>
        <v>0</v>
      </c>
      <c r="E86" s="132">
        <f>SG_04_15</f>
        <v>0</v>
      </c>
    </row>
    <row r="87" spans="1:5" s="114" customFormat="1" hidden="1">
      <c r="A87" s="129" t="str">
        <f>Planilha!$B$387</f>
        <v>04.16</v>
      </c>
      <c r="B87" s="130" t="str">
        <f>Planilha!$C$387</f>
        <v>Sub-Grupo 04.16</v>
      </c>
      <c r="C87" s="131">
        <f t="shared" si="6"/>
        <v>0</v>
      </c>
      <c r="D87" s="131">
        <f>IF(TOTAL_GERAL=0,0,ROUND(100*E87/TOTAL_GERAL,2))</f>
        <v>0</v>
      </c>
      <c r="E87" s="132">
        <f>SG_04_16</f>
        <v>0</v>
      </c>
    </row>
    <row r="88" spans="1:5" s="114" customFormat="1" hidden="1">
      <c r="A88" s="129" t="str">
        <f>Planilha!$B$391</f>
        <v>04.17</v>
      </c>
      <c r="B88" s="130" t="str">
        <f>Planilha!$C$391</f>
        <v>Sub-Grupo 04.17</v>
      </c>
      <c r="C88" s="131">
        <f t="shared" si="6"/>
        <v>0</v>
      </c>
      <c r="D88" s="131">
        <f>IF(TOTAL_GERAL=0,0,ROUND(100*E88/TOTAL_GERAL,2))</f>
        <v>0</v>
      </c>
      <c r="E88" s="132">
        <f>SG_04_17</f>
        <v>0</v>
      </c>
    </row>
    <row r="89" spans="1:5" s="114" customFormat="1" hidden="1">
      <c r="A89" s="129" t="str">
        <f>Planilha!$B$395</f>
        <v>04.18</v>
      </c>
      <c r="B89" s="130" t="str">
        <f>Planilha!$C$395</f>
        <v>Sub-Grupo 04.18</v>
      </c>
      <c r="C89" s="131">
        <f>IF(G_04=0,0,ROUND(100*E89/G_04,2))</f>
        <v>0</v>
      </c>
      <c r="D89" s="131">
        <f>IF(TOTAL_GERAL=0,0,ROUND(100*E89/TOTAL_GERAL,2))</f>
        <v>0</v>
      </c>
      <c r="E89" s="132">
        <f>SG_04_18</f>
        <v>0</v>
      </c>
    </row>
    <row r="90" spans="1:5" s="114" customFormat="1" hidden="1">
      <c r="A90" s="129" t="str">
        <f>Planilha!$B$399</f>
        <v>04.19</v>
      </c>
      <c r="B90" s="130" t="str">
        <f>Planilha!$C$399</f>
        <v>Sub-Grupo 04.19</v>
      </c>
      <c r="C90" s="131">
        <f>IF(G_04=0,0,ROUND(100*E90/G_04,2))</f>
        <v>0</v>
      </c>
      <c r="D90" s="131">
        <f>IF(TOTAL_GERAL=0,0,ROUND(100*E90/TOTAL_GERAL,2))</f>
        <v>0</v>
      </c>
      <c r="E90" s="132">
        <f>SG_04_19</f>
        <v>0</v>
      </c>
    </row>
    <row r="91" spans="1:5" s="114" customFormat="1" hidden="1">
      <c r="A91" s="129" t="str">
        <f>Planilha!$B$403</f>
        <v>04.20</v>
      </c>
      <c r="B91" s="130" t="str">
        <f>Planilha!$C$403</f>
        <v>Sub-Grupo 04.20</v>
      </c>
      <c r="C91" s="131">
        <f>IF(G_04=0,0,ROUND(100*E91/G_04,2))</f>
        <v>0</v>
      </c>
      <c r="D91" s="131">
        <f>IF(TOTAL_GERAL=0,0,ROUND(100*E91/TOTAL_GERAL,2))</f>
        <v>0</v>
      </c>
      <c r="E91" s="132">
        <f>SG_04_20</f>
        <v>0</v>
      </c>
    </row>
    <row r="92" spans="1:5" s="114" customFormat="1">
      <c r="A92" s="124" t="str">
        <f>Planilha!$B$408</f>
        <v>05</v>
      </c>
      <c r="B92" s="125" t="str">
        <f>Planilha!$C$408</f>
        <v>ADMINISTRAÇÃO LOCAL</v>
      </c>
      <c r="C92" s="126"/>
      <c r="D92" s="127">
        <f>IF(TOTAL_GERAL=0,0,ROUND(100*G_05/TOTAL_GERAL,2))</f>
        <v>6.54</v>
      </c>
      <c r="E92" s="128">
        <f>G_05</f>
        <v>142597.72</v>
      </c>
    </row>
    <row r="93" spans="1:5" s="114" customFormat="1">
      <c r="A93" s="129" t="str">
        <f>Planilha!$B$409</f>
        <v>05.01</v>
      </c>
      <c r="B93" s="130" t="str">
        <f>Planilha!$C$409</f>
        <v>ADMINISTRAÇÃO LOCAL</v>
      </c>
      <c r="C93" s="131">
        <f>IF(G_05=0,0,ROUND(100*E93/G_05,2))</f>
        <v>100</v>
      </c>
      <c r="D93" s="131">
        <f>IF(TOTAL_GERAL=0,0,ROUND(100*E93/TOTAL_GERAL,2))</f>
        <v>6.54</v>
      </c>
      <c r="E93" s="132">
        <f>SG_05_01</f>
        <v>142597.72</v>
      </c>
    </row>
    <row r="94" spans="1:5" s="114" customFormat="1" hidden="1">
      <c r="A94" s="129" t="str">
        <f>Planilha!$B$413</f>
        <v>05.02</v>
      </c>
      <c r="B94" s="130" t="str">
        <f>Planilha!$C$413</f>
        <v>Sub-Grupo 05.02</v>
      </c>
      <c r="C94" s="131">
        <f t="shared" ref="C94:C109" si="8">IF(G_05=0,0,ROUND(100*E94/G_05,2))</f>
        <v>0</v>
      </c>
      <c r="D94" s="131">
        <f t="shared" ref="D94:D107" si="9">IF(TOTAL_GERAL=0,0,ROUND(100*E94/TOTAL_GERAL,2))</f>
        <v>0</v>
      </c>
      <c r="E94" s="132">
        <f>SG_05_02</f>
        <v>0</v>
      </c>
    </row>
    <row r="95" spans="1:5" s="114" customFormat="1" hidden="1">
      <c r="A95" s="129" t="str">
        <f>Planilha!$B$417</f>
        <v>05.03</v>
      </c>
      <c r="B95" s="130" t="str">
        <f>Planilha!$C$417</f>
        <v>Sub-Grupo 05.03</v>
      </c>
      <c r="C95" s="131">
        <f t="shared" si="8"/>
        <v>0</v>
      </c>
      <c r="D95" s="131">
        <f t="shared" si="9"/>
        <v>0</v>
      </c>
      <c r="E95" s="132">
        <f>SG_05_03</f>
        <v>0</v>
      </c>
    </row>
    <row r="96" spans="1:5" s="114" customFormat="1" hidden="1">
      <c r="A96" s="129" t="str">
        <f>Planilha!$B$421</f>
        <v>05.04</v>
      </c>
      <c r="B96" s="130" t="str">
        <f>Planilha!$C$421</f>
        <v>Sub-Grupo 05.04</v>
      </c>
      <c r="C96" s="131">
        <f t="shared" si="8"/>
        <v>0</v>
      </c>
      <c r="D96" s="131">
        <f t="shared" si="9"/>
        <v>0</v>
      </c>
      <c r="E96" s="132">
        <f>SG_05_04</f>
        <v>0</v>
      </c>
    </row>
    <row r="97" spans="1:5" s="114" customFormat="1" hidden="1">
      <c r="A97" s="129" t="str">
        <f>Planilha!$B$425</f>
        <v>05.05</v>
      </c>
      <c r="B97" s="130" t="str">
        <f>Planilha!$C$425</f>
        <v>Sub-Grupo 05.05</v>
      </c>
      <c r="C97" s="131">
        <f t="shared" si="8"/>
        <v>0</v>
      </c>
      <c r="D97" s="131">
        <f t="shared" si="9"/>
        <v>0</v>
      </c>
      <c r="E97" s="132">
        <f>SG_05_05</f>
        <v>0</v>
      </c>
    </row>
    <row r="98" spans="1:5" s="114" customFormat="1" hidden="1">
      <c r="A98" s="129" t="str">
        <f>Planilha!$B$429</f>
        <v>05.06</v>
      </c>
      <c r="B98" s="130" t="str">
        <f>Planilha!$C$429</f>
        <v>Sub-Grupo 05.06</v>
      </c>
      <c r="C98" s="131">
        <f t="shared" si="8"/>
        <v>0</v>
      </c>
      <c r="D98" s="131">
        <f t="shared" si="9"/>
        <v>0</v>
      </c>
      <c r="E98" s="132">
        <f>SG_05_06</f>
        <v>0</v>
      </c>
    </row>
    <row r="99" spans="1:5" s="114" customFormat="1" hidden="1">
      <c r="A99" s="129" t="str">
        <f>Planilha!$B$433</f>
        <v>05.07</v>
      </c>
      <c r="B99" s="130" t="str">
        <f>Planilha!$C$433</f>
        <v>Sub-Grupo 05.07</v>
      </c>
      <c r="C99" s="131">
        <f t="shared" si="8"/>
        <v>0</v>
      </c>
      <c r="D99" s="131">
        <f t="shared" si="9"/>
        <v>0</v>
      </c>
      <c r="E99" s="132">
        <f>SG_05_07</f>
        <v>0</v>
      </c>
    </row>
    <row r="100" spans="1:5" s="114" customFormat="1" hidden="1">
      <c r="A100" s="129" t="str">
        <f>Planilha!$B$437</f>
        <v>05.08</v>
      </c>
      <c r="B100" s="130" t="str">
        <f>Planilha!$C$437</f>
        <v>Sub-Grupo 05.08</v>
      </c>
      <c r="C100" s="131">
        <f t="shared" si="8"/>
        <v>0</v>
      </c>
      <c r="D100" s="131">
        <f t="shared" si="9"/>
        <v>0</v>
      </c>
      <c r="E100" s="132">
        <f>SG_05_08</f>
        <v>0</v>
      </c>
    </row>
    <row r="101" spans="1:5" s="114" customFormat="1" hidden="1">
      <c r="A101" s="129" t="str">
        <f>Planilha!$B$441</f>
        <v>05.09</v>
      </c>
      <c r="B101" s="130" t="str">
        <f>Planilha!$C$441</f>
        <v>Sub-Grupo 05.09</v>
      </c>
      <c r="C101" s="131">
        <f t="shared" si="8"/>
        <v>0</v>
      </c>
      <c r="D101" s="131">
        <f t="shared" si="9"/>
        <v>0</v>
      </c>
      <c r="E101" s="132">
        <f>SG_05_09</f>
        <v>0</v>
      </c>
    </row>
    <row r="102" spans="1:5" s="114" customFormat="1" hidden="1">
      <c r="A102" s="129" t="str">
        <f>Planilha!$B$445</f>
        <v>05.10</v>
      </c>
      <c r="B102" s="130" t="str">
        <f>Planilha!$C$445</f>
        <v>Sub-Grupo 05.10</v>
      </c>
      <c r="C102" s="131">
        <f t="shared" si="8"/>
        <v>0</v>
      </c>
      <c r="D102" s="131">
        <f t="shared" si="9"/>
        <v>0</v>
      </c>
      <c r="E102" s="132">
        <f>SG_05_10</f>
        <v>0</v>
      </c>
    </row>
    <row r="103" spans="1:5" s="114" customFormat="1" hidden="1">
      <c r="A103" s="129" t="str">
        <f>Planilha!$B$449</f>
        <v>05.11</v>
      </c>
      <c r="B103" s="130" t="str">
        <f>Planilha!$C$449</f>
        <v>Sub-Grupo 05.11</v>
      </c>
      <c r="C103" s="131">
        <f t="shared" si="8"/>
        <v>0</v>
      </c>
      <c r="D103" s="131">
        <f t="shared" si="9"/>
        <v>0</v>
      </c>
      <c r="E103" s="132">
        <f>SG_05_11</f>
        <v>0</v>
      </c>
    </row>
    <row r="104" spans="1:5" s="114" customFormat="1" hidden="1">
      <c r="A104" s="129" t="str">
        <f>Planilha!$B$453</f>
        <v>05.12</v>
      </c>
      <c r="B104" s="130" t="str">
        <f>Planilha!$C$453</f>
        <v>Sub-Grupo 05.12</v>
      </c>
      <c r="C104" s="131">
        <f t="shared" si="8"/>
        <v>0</v>
      </c>
      <c r="D104" s="131">
        <f t="shared" si="9"/>
        <v>0</v>
      </c>
      <c r="E104" s="132">
        <f>SG_05_12</f>
        <v>0</v>
      </c>
    </row>
    <row r="105" spans="1:5" s="114" customFormat="1" hidden="1">
      <c r="A105" s="129" t="str">
        <f>Planilha!$B$457</f>
        <v>05.13</v>
      </c>
      <c r="B105" s="130" t="str">
        <f>Planilha!$C$457</f>
        <v>Sub-Grupo 05.13</v>
      </c>
      <c r="C105" s="131">
        <f t="shared" si="8"/>
        <v>0</v>
      </c>
      <c r="D105" s="131">
        <f t="shared" si="9"/>
        <v>0</v>
      </c>
      <c r="E105" s="132">
        <f>SG_05_13</f>
        <v>0</v>
      </c>
    </row>
    <row r="106" spans="1:5" s="114" customFormat="1" hidden="1">
      <c r="A106" s="129" t="str">
        <f>Planilha!$B$461</f>
        <v>05.14</v>
      </c>
      <c r="B106" s="130" t="str">
        <f>Planilha!$C$461</f>
        <v>Sub-Grupo 05.14</v>
      </c>
      <c r="C106" s="131">
        <f t="shared" si="8"/>
        <v>0</v>
      </c>
      <c r="D106" s="131">
        <f t="shared" si="9"/>
        <v>0</v>
      </c>
      <c r="E106" s="132">
        <f>SG_05_14</f>
        <v>0</v>
      </c>
    </row>
    <row r="107" spans="1:5" s="114" customFormat="1" hidden="1">
      <c r="A107" s="129" t="str">
        <f>Planilha!$B$465</f>
        <v>05.15</v>
      </c>
      <c r="B107" s="130" t="str">
        <f>Planilha!$C$465</f>
        <v>Sub-Grupo 05.15</v>
      </c>
      <c r="C107" s="131">
        <f t="shared" si="8"/>
        <v>0</v>
      </c>
      <c r="D107" s="131">
        <f t="shared" si="9"/>
        <v>0</v>
      </c>
      <c r="E107" s="132">
        <f>SG_05_15</f>
        <v>0</v>
      </c>
    </row>
    <row r="108" spans="1:5" s="114" customFormat="1" hidden="1">
      <c r="A108" s="129" t="str">
        <f>Planilha!$B$469</f>
        <v>05.16</v>
      </c>
      <c r="B108" s="130" t="str">
        <f>Planilha!$C$469</f>
        <v>Sub-Grupo 05.16</v>
      </c>
      <c r="C108" s="131">
        <f t="shared" si="8"/>
        <v>0</v>
      </c>
      <c r="D108" s="131">
        <f>IF(TOTAL_GERAL=0,0,ROUND(100*E108/TOTAL_GERAL,2))</f>
        <v>0</v>
      </c>
      <c r="E108" s="132">
        <f>SG_05_16</f>
        <v>0</v>
      </c>
    </row>
    <row r="109" spans="1:5" s="114" customFormat="1" hidden="1">
      <c r="A109" s="129" t="str">
        <f>Planilha!$B$473</f>
        <v>05.17</v>
      </c>
      <c r="B109" s="130" t="str">
        <f>Planilha!$C$473</f>
        <v>Sub-Grupo 05.17</v>
      </c>
      <c r="C109" s="131">
        <f t="shared" si="8"/>
        <v>0</v>
      </c>
      <c r="D109" s="131">
        <f>IF(TOTAL_GERAL=0,0,ROUND(100*E109/TOTAL_GERAL,2))</f>
        <v>0</v>
      </c>
      <c r="E109" s="132">
        <f>SG_05_17</f>
        <v>0</v>
      </c>
    </row>
    <row r="110" spans="1:5" s="114" customFormat="1" hidden="1">
      <c r="A110" s="129" t="str">
        <f>Planilha!$B$477</f>
        <v>05.18</v>
      </c>
      <c r="B110" s="130" t="str">
        <f>Planilha!$C$477</f>
        <v>Sub-Grupo 05.18</v>
      </c>
      <c r="C110" s="131">
        <f>IF(G_05=0,0,ROUND(100*E110/G_05,2))</f>
        <v>0</v>
      </c>
      <c r="D110" s="131">
        <f>IF(TOTAL_GERAL=0,0,ROUND(100*E110/TOTAL_GERAL,2))</f>
        <v>0</v>
      </c>
      <c r="E110" s="132">
        <f>SG_05_18</f>
        <v>0</v>
      </c>
    </row>
    <row r="111" spans="1:5" s="114" customFormat="1" hidden="1">
      <c r="A111" s="129" t="str">
        <f>Planilha!$B$481</f>
        <v>05.19</v>
      </c>
      <c r="B111" s="130" t="str">
        <f>Planilha!$C$481</f>
        <v>Sub-Grupo 05.19</v>
      </c>
      <c r="C111" s="131">
        <f>IF(G_05=0,0,ROUND(100*E111/G_05,2))</f>
        <v>0</v>
      </c>
      <c r="D111" s="131">
        <f>IF(TOTAL_GERAL=0,0,ROUND(100*E111/TOTAL_GERAL,2))</f>
        <v>0</v>
      </c>
      <c r="E111" s="132">
        <f>SG_05_19</f>
        <v>0</v>
      </c>
    </row>
    <row r="112" spans="1:5" s="114" customFormat="1" hidden="1">
      <c r="A112" s="129" t="str">
        <f>Planilha!$B$485</f>
        <v>05.20</v>
      </c>
      <c r="B112" s="130" t="str">
        <f>Planilha!$C$485</f>
        <v>Sub-Grupo 05.20</v>
      </c>
      <c r="C112" s="131">
        <f>IF(G_05=0,0,ROUND(100*E112/G_05,2))</f>
        <v>0</v>
      </c>
      <c r="D112" s="131">
        <f>IF(TOTAL_GERAL=0,0,ROUND(100*E112/TOTAL_GERAL,2))</f>
        <v>0</v>
      </c>
      <c r="E112" s="132">
        <f>SG_05_20</f>
        <v>0</v>
      </c>
    </row>
    <row r="113" spans="1:5" s="114" customFormat="1" hidden="1">
      <c r="A113" s="125" t="str">
        <f>Planilha!$B$490</f>
        <v>06</v>
      </c>
      <c r="B113" s="125" t="str">
        <f>Planilha!$C$490</f>
        <v>GRUPO 06</v>
      </c>
      <c r="C113" s="126"/>
      <c r="D113" s="127">
        <f>IF(TOTAL_GERAL=0,0,ROUND(100*G_06/TOTAL_GERAL,2))</f>
        <v>0</v>
      </c>
      <c r="E113" s="128">
        <f>G_06</f>
        <v>0</v>
      </c>
    </row>
    <row r="114" spans="1:5" s="114" customFormat="1" hidden="1">
      <c r="A114" s="133" t="str">
        <f>Planilha!$B$491</f>
        <v>06.01</v>
      </c>
      <c r="B114" s="130" t="str">
        <f>Planilha!$C$491</f>
        <v>Sub-Grupo 06.01</v>
      </c>
      <c r="C114" s="131">
        <f>IF(G_06=0,0,ROUND(100*E114/G_06,2))</f>
        <v>0</v>
      </c>
      <c r="D114" s="131">
        <f>IF(TOTAL_GERAL=0,0,ROUND(100*E114/TOTAL_GERAL,2))</f>
        <v>0</v>
      </c>
      <c r="E114" s="132">
        <f>SG_06_01</f>
        <v>0</v>
      </c>
    </row>
    <row r="115" spans="1:5" s="114" customFormat="1" hidden="1">
      <c r="A115" s="133" t="str">
        <f>Planilha!$B$495</f>
        <v>06.02</v>
      </c>
      <c r="B115" s="130" t="str">
        <f>Planilha!$C$495</f>
        <v>Sub-Grupo 06.02</v>
      </c>
      <c r="C115" s="131">
        <f t="shared" ref="C115:C130" si="10">IF(G_06=0,0,ROUND(100*E115/G_06,2))</f>
        <v>0</v>
      </c>
      <c r="D115" s="131">
        <f t="shared" ref="D115:D128" si="11">IF(TOTAL_GERAL=0,0,ROUND(100*E115/TOTAL_GERAL,2))</f>
        <v>0</v>
      </c>
      <c r="E115" s="132">
        <f>SG_06_02</f>
        <v>0</v>
      </c>
    </row>
    <row r="116" spans="1:5" s="114" customFormat="1" hidden="1">
      <c r="A116" s="133" t="str">
        <f>Planilha!$B$499</f>
        <v>06.03</v>
      </c>
      <c r="B116" s="130" t="str">
        <f>Planilha!$C$499</f>
        <v>Sub-Grupo 06.03</v>
      </c>
      <c r="C116" s="131">
        <f t="shared" si="10"/>
        <v>0</v>
      </c>
      <c r="D116" s="131">
        <f t="shared" si="11"/>
        <v>0</v>
      </c>
      <c r="E116" s="132">
        <f>SG_06_03</f>
        <v>0</v>
      </c>
    </row>
    <row r="117" spans="1:5" s="114" customFormat="1" hidden="1">
      <c r="A117" s="133" t="str">
        <f>Planilha!$B$503</f>
        <v>06.04</v>
      </c>
      <c r="B117" s="130" t="str">
        <f>Planilha!$C$503</f>
        <v>Sub-Grupo 06.04</v>
      </c>
      <c r="C117" s="131">
        <f t="shared" si="10"/>
        <v>0</v>
      </c>
      <c r="D117" s="131">
        <f t="shared" si="11"/>
        <v>0</v>
      </c>
      <c r="E117" s="132">
        <f>SG_06_04</f>
        <v>0</v>
      </c>
    </row>
    <row r="118" spans="1:5" s="114" customFormat="1" hidden="1">
      <c r="A118" s="133" t="str">
        <f>Planilha!$B$507</f>
        <v>06.05</v>
      </c>
      <c r="B118" s="130" t="str">
        <f>Planilha!$C$507</f>
        <v>Sub-Grupo 06.05</v>
      </c>
      <c r="C118" s="131">
        <f t="shared" si="10"/>
        <v>0</v>
      </c>
      <c r="D118" s="131">
        <f t="shared" si="11"/>
        <v>0</v>
      </c>
      <c r="E118" s="132">
        <f>SG_06_05</f>
        <v>0</v>
      </c>
    </row>
    <row r="119" spans="1:5" s="114" customFormat="1" hidden="1">
      <c r="A119" s="133" t="str">
        <f>Planilha!$B$511</f>
        <v>06.06</v>
      </c>
      <c r="B119" s="130" t="str">
        <f>Planilha!$C$511</f>
        <v>Sub-Grupo 06.06</v>
      </c>
      <c r="C119" s="131">
        <f t="shared" si="10"/>
        <v>0</v>
      </c>
      <c r="D119" s="131">
        <f t="shared" si="11"/>
        <v>0</v>
      </c>
      <c r="E119" s="132">
        <f>SG_06_06</f>
        <v>0</v>
      </c>
    </row>
    <row r="120" spans="1:5" s="114" customFormat="1" hidden="1">
      <c r="A120" s="133" t="str">
        <f>Planilha!$B$515</f>
        <v>06.07</v>
      </c>
      <c r="B120" s="130" t="str">
        <f>Planilha!$C$515</f>
        <v>Sub-Grupo 06.07</v>
      </c>
      <c r="C120" s="131">
        <f t="shared" si="10"/>
        <v>0</v>
      </c>
      <c r="D120" s="131">
        <f t="shared" si="11"/>
        <v>0</v>
      </c>
      <c r="E120" s="132">
        <f>SG_06_07</f>
        <v>0</v>
      </c>
    </row>
    <row r="121" spans="1:5" s="114" customFormat="1" hidden="1">
      <c r="A121" s="133" t="str">
        <f>Planilha!$B$519</f>
        <v>06.08</v>
      </c>
      <c r="B121" s="130" t="str">
        <f>Planilha!$C$519</f>
        <v>Sub-Grupo 06.08</v>
      </c>
      <c r="C121" s="131">
        <f t="shared" si="10"/>
        <v>0</v>
      </c>
      <c r="D121" s="131">
        <f t="shared" si="11"/>
        <v>0</v>
      </c>
      <c r="E121" s="132">
        <f>SG_06_08</f>
        <v>0</v>
      </c>
    </row>
    <row r="122" spans="1:5" s="114" customFormat="1" hidden="1">
      <c r="A122" s="133" t="str">
        <f>Planilha!$B$523</f>
        <v>06.09</v>
      </c>
      <c r="B122" s="130" t="str">
        <f>Planilha!$C$523</f>
        <v>Sub-Grupo 06.09</v>
      </c>
      <c r="C122" s="131">
        <f t="shared" si="10"/>
        <v>0</v>
      </c>
      <c r="D122" s="131">
        <f t="shared" si="11"/>
        <v>0</v>
      </c>
      <c r="E122" s="132">
        <f>SG_06_09</f>
        <v>0</v>
      </c>
    </row>
    <row r="123" spans="1:5" s="114" customFormat="1" hidden="1">
      <c r="A123" s="133" t="str">
        <f>Planilha!$B$527</f>
        <v>06.10</v>
      </c>
      <c r="B123" s="130" t="str">
        <f>Planilha!$C$527</f>
        <v>Sub-Grupo 06.10</v>
      </c>
      <c r="C123" s="131">
        <f t="shared" si="10"/>
        <v>0</v>
      </c>
      <c r="D123" s="131">
        <f t="shared" si="11"/>
        <v>0</v>
      </c>
      <c r="E123" s="132">
        <f>SG_06_10</f>
        <v>0</v>
      </c>
    </row>
    <row r="124" spans="1:5" s="114" customFormat="1" hidden="1">
      <c r="A124" s="133" t="str">
        <f>Planilha!$B$531</f>
        <v>06.11</v>
      </c>
      <c r="B124" s="130" t="str">
        <f>Planilha!$C$531</f>
        <v>Sub-Grupo 06.11</v>
      </c>
      <c r="C124" s="131">
        <f t="shared" si="10"/>
        <v>0</v>
      </c>
      <c r="D124" s="131">
        <f t="shared" si="11"/>
        <v>0</v>
      </c>
      <c r="E124" s="132">
        <f>SG_06_11</f>
        <v>0</v>
      </c>
    </row>
    <row r="125" spans="1:5" s="114" customFormat="1" hidden="1">
      <c r="A125" s="133" t="str">
        <f>Planilha!$B$535</f>
        <v>06.12</v>
      </c>
      <c r="B125" s="130" t="str">
        <f>Planilha!$C$535</f>
        <v>Sub-Grupo 06.12</v>
      </c>
      <c r="C125" s="131">
        <f t="shared" si="10"/>
        <v>0</v>
      </c>
      <c r="D125" s="131">
        <f t="shared" si="11"/>
        <v>0</v>
      </c>
      <c r="E125" s="132">
        <f>SG_06_12</f>
        <v>0</v>
      </c>
    </row>
    <row r="126" spans="1:5" s="114" customFormat="1" hidden="1">
      <c r="A126" s="133" t="str">
        <f>Planilha!$B$539</f>
        <v>06.13</v>
      </c>
      <c r="B126" s="130" t="str">
        <f>Planilha!$C$539</f>
        <v>Sub-Grupo 06.13</v>
      </c>
      <c r="C126" s="131">
        <f t="shared" si="10"/>
        <v>0</v>
      </c>
      <c r="D126" s="131">
        <f t="shared" si="11"/>
        <v>0</v>
      </c>
      <c r="E126" s="132">
        <f>SG_06_13</f>
        <v>0</v>
      </c>
    </row>
    <row r="127" spans="1:5" s="114" customFormat="1" hidden="1">
      <c r="A127" s="133" t="str">
        <f>Planilha!$B$543</f>
        <v>06.14</v>
      </c>
      <c r="B127" s="130" t="str">
        <f>Planilha!$C$543</f>
        <v>Sub-Grupo 06.14</v>
      </c>
      <c r="C127" s="131">
        <f t="shared" si="10"/>
        <v>0</v>
      </c>
      <c r="D127" s="131">
        <f t="shared" si="11"/>
        <v>0</v>
      </c>
      <c r="E127" s="132">
        <f>SG_06_14</f>
        <v>0</v>
      </c>
    </row>
    <row r="128" spans="1:5" s="114" customFormat="1" hidden="1">
      <c r="A128" s="133" t="str">
        <f>Planilha!$B$547</f>
        <v>06.15</v>
      </c>
      <c r="B128" s="130" t="str">
        <f>Planilha!$C$547</f>
        <v>Sub-Grupo 06.15</v>
      </c>
      <c r="C128" s="131">
        <f t="shared" si="10"/>
        <v>0</v>
      </c>
      <c r="D128" s="131">
        <f t="shared" si="11"/>
        <v>0</v>
      </c>
      <c r="E128" s="132">
        <f>SG_06_15</f>
        <v>0</v>
      </c>
    </row>
    <row r="129" spans="1:5" s="114" customFormat="1" hidden="1">
      <c r="A129" s="133" t="str">
        <f>Planilha!$B$551</f>
        <v>06.16</v>
      </c>
      <c r="B129" s="130" t="str">
        <f>Planilha!$C$551</f>
        <v>Sub-Grupo 06.16</v>
      </c>
      <c r="C129" s="131">
        <f t="shared" si="10"/>
        <v>0</v>
      </c>
      <c r="D129" s="131">
        <f>IF(TOTAL_GERAL=0,0,ROUND(100*E129/TOTAL_GERAL,2))</f>
        <v>0</v>
      </c>
      <c r="E129" s="132">
        <f>SG_06_16</f>
        <v>0</v>
      </c>
    </row>
    <row r="130" spans="1:5" s="114" customFormat="1" hidden="1">
      <c r="A130" s="133" t="str">
        <f>Planilha!$B$555</f>
        <v>06.17</v>
      </c>
      <c r="B130" s="130" t="str">
        <f>Planilha!$C$555</f>
        <v>Sub-Grupo 06.17</v>
      </c>
      <c r="C130" s="131">
        <f t="shared" si="10"/>
        <v>0</v>
      </c>
      <c r="D130" s="131">
        <f>IF(TOTAL_GERAL=0,0,ROUND(100*E130/TOTAL_GERAL,2))</f>
        <v>0</v>
      </c>
      <c r="E130" s="132">
        <f>SG_06_17</f>
        <v>0</v>
      </c>
    </row>
    <row r="131" spans="1:5" s="114" customFormat="1" hidden="1">
      <c r="A131" s="133" t="str">
        <f>Planilha!$B$559</f>
        <v>06.18</v>
      </c>
      <c r="B131" s="130" t="str">
        <f>Planilha!$C$559</f>
        <v>Sub-Grupo 06.18</v>
      </c>
      <c r="C131" s="131">
        <f>IF(G_06=0,0,ROUND(100*E131/G_06,2))</f>
        <v>0</v>
      </c>
      <c r="D131" s="131">
        <f>IF(TOTAL_GERAL=0,0,ROUND(100*E131/TOTAL_GERAL,2))</f>
        <v>0</v>
      </c>
      <c r="E131" s="132">
        <f>SG_06_18</f>
        <v>0</v>
      </c>
    </row>
    <row r="132" spans="1:5" s="114" customFormat="1" hidden="1">
      <c r="A132" s="133" t="str">
        <f>Planilha!$B$563</f>
        <v>06.19</v>
      </c>
      <c r="B132" s="130" t="str">
        <f>Planilha!$C$563</f>
        <v>Sub-Grupo 06.19</v>
      </c>
      <c r="C132" s="131">
        <f>IF(G_06=0,0,ROUND(100*E132/G_06,2))</f>
        <v>0</v>
      </c>
      <c r="D132" s="131">
        <f>IF(TOTAL_GERAL=0,0,ROUND(100*E132/TOTAL_GERAL,2))</f>
        <v>0</v>
      </c>
      <c r="E132" s="132">
        <f>SG_06_19</f>
        <v>0</v>
      </c>
    </row>
    <row r="133" spans="1:5" s="114" customFormat="1" hidden="1">
      <c r="A133" s="133" t="str">
        <f>Planilha!$B$567</f>
        <v>06.20</v>
      </c>
      <c r="B133" s="130" t="str">
        <f>Planilha!$C$567</f>
        <v>Sub-Grupo 06.20</v>
      </c>
      <c r="C133" s="131">
        <f>IF(G_06=0,0,ROUND(100*E133/G_06,2))</f>
        <v>0</v>
      </c>
      <c r="D133" s="131">
        <f>IF(TOTAL_GERAL=0,0,ROUND(100*E133/TOTAL_GERAL,2))</f>
        <v>0</v>
      </c>
      <c r="E133" s="132">
        <f>SG_06_20</f>
        <v>0</v>
      </c>
    </row>
    <row r="134" spans="1:5" s="114" customFormat="1" hidden="1">
      <c r="A134" s="125" t="str">
        <f>Planilha!$B$572</f>
        <v>07</v>
      </c>
      <c r="B134" s="125" t="str">
        <f>Planilha!$C$572</f>
        <v>GRUPO 07</v>
      </c>
      <c r="C134" s="126"/>
      <c r="D134" s="127">
        <f>IF(TOTAL_GERAL=0,0,ROUND(100*G_07/TOTAL_GERAL,2))</f>
        <v>0</v>
      </c>
      <c r="E134" s="128">
        <f>G_07</f>
        <v>0</v>
      </c>
    </row>
    <row r="135" spans="1:5" s="114" customFormat="1" hidden="1">
      <c r="A135" s="133" t="str">
        <f>Planilha!$B$573</f>
        <v>07.01</v>
      </c>
      <c r="B135" s="130" t="str">
        <f>Planilha!$C$573</f>
        <v>Sub-Grupo 07.01</v>
      </c>
      <c r="C135" s="131">
        <f>IF(G_07=0,0,ROUND(100*E135/G_07,2))</f>
        <v>0</v>
      </c>
      <c r="D135" s="131">
        <f t="shared" ref="D135:D148" si="12">IF(TOTAL_GERAL=0,0,ROUND(100*E135/TOTAL_GERAL,2))</f>
        <v>0</v>
      </c>
      <c r="E135" s="132">
        <f>SG_07_01</f>
        <v>0</v>
      </c>
    </row>
    <row r="136" spans="1:5" s="114" customFormat="1" hidden="1">
      <c r="A136" s="133" t="str">
        <f>Planilha!$B$577</f>
        <v>07.02</v>
      </c>
      <c r="B136" s="130" t="str">
        <f>Planilha!$C$577</f>
        <v>Sub-Grupo 07.02</v>
      </c>
      <c r="C136" s="131">
        <f t="shared" ref="C136:C151" si="13">IF(G_07=0,0,ROUND(100*E136/G_07,2))</f>
        <v>0</v>
      </c>
      <c r="D136" s="131">
        <f t="shared" si="12"/>
        <v>0</v>
      </c>
      <c r="E136" s="132">
        <f>SG_07_02</f>
        <v>0</v>
      </c>
    </row>
    <row r="137" spans="1:5" s="114" customFormat="1" hidden="1">
      <c r="A137" s="133" t="str">
        <f>Planilha!$B$581</f>
        <v>07.03</v>
      </c>
      <c r="B137" s="130" t="str">
        <f>Planilha!$C$581</f>
        <v>Sub-Grupo 07.03</v>
      </c>
      <c r="C137" s="131">
        <f t="shared" si="13"/>
        <v>0</v>
      </c>
      <c r="D137" s="131">
        <f t="shared" si="12"/>
        <v>0</v>
      </c>
      <c r="E137" s="132">
        <f>SG_07_03</f>
        <v>0</v>
      </c>
    </row>
    <row r="138" spans="1:5" s="114" customFormat="1" hidden="1">
      <c r="A138" s="133" t="str">
        <f>Planilha!$B$585</f>
        <v>07.04</v>
      </c>
      <c r="B138" s="130" t="str">
        <f>Planilha!$C$585</f>
        <v>Sub-Grupo 07.04</v>
      </c>
      <c r="C138" s="131">
        <f t="shared" si="13"/>
        <v>0</v>
      </c>
      <c r="D138" s="131">
        <f t="shared" si="12"/>
        <v>0</v>
      </c>
      <c r="E138" s="132">
        <f>SG_07_04</f>
        <v>0</v>
      </c>
    </row>
    <row r="139" spans="1:5" s="114" customFormat="1" hidden="1">
      <c r="A139" s="133" t="str">
        <f>Planilha!$B$589</f>
        <v>07.05</v>
      </c>
      <c r="B139" s="130" t="str">
        <f>Planilha!$C$589</f>
        <v>Sub-Grupo 07.05</v>
      </c>
      <c r="C139" s="131">
        <f t="shared" si="13"/>
        <v>0</v>
      </c>
      <c r="D139" s="131">
        <f t="shared" si="12"/>
        <v>0</v>
      </c>
      <c r="E139" s="132">
        <f>SG_07_05</f>
        <v>0</v>
      </c>
    </row>
    <row r="140" spans="1:5" s="114" customFormat="1" hidden="1">
      <c r="A140" s="133" t="str">
        <f>Planilha!$B$593</f>
        <v>07.06</v>
      </c>
      <c r="B140" s="130" t="str">
        <f>Planilha!$C$593</f>
        <v>Sub-Grupo 07.06</v>
      </c>
      <c r="C140" s="131">
        <f t="shared" si="13"/>
        <v>0</v>
      </c>
      <c r="D140" s="131">
        <f t="shared" si="12"/>
        <v>0</v>
      </c>
      <c r="E140" s="132">
        <f>SG_07_06</f>
        <v>0</v>
      </c>
    </row>
    <row r="141" spans="1:5" s="114" customFormat="1" hidden="1">
      <c r="A141" s="133" t="str">
        <f>Planilha!$B$597</f>
        <v>07.07</v>
      </c>
      <c r="B141" s="130" t="str">
        <f>Planilha!$C$597</f>
        <v>Sub-Grupo 07.07</v>
      </c>
      <c r="C141" s="131">
        <f t="shared" si="13"/>
        <v>0</v>
      </c>
      <c r="D141" s="131">
        <f t="shared" si="12"/>
        <v>0</v>
      </c>
      <c r="E141" s="132">
        <f>SG_07_07</f>
        <v>0</v>
      </c>
    </row>
    <row r="142" spans="1:5" s="114" customFormat="1" hidden="1">
      <c r="A142" s="133" t="str">
        <f>Planilha!$B$601</f>
        <v>07.08</v>
      </c>
      <c r="B142" s="130" t="str">
        <f>Planilha!$C$601</f>
        <v>Sub-Grupo 07.08</v>
      </c>
      <c r="C142" s="131">
        <f t="shared" si="13"/>
        <v>0</v>
      </c>
      <c r="D142" s="131">
        <f t="shared" si="12"/>
        <v>0</v>
      </c>
      <c r="E142" s="132">
        <f>SG_07_08</f>
        <v>0</v>
      </c>
    </row>
    <row r="143" spans="1:5" s="114" customFormat="1" hidden="1">
      <c r="A143" s="133" t="str">
        <f>Planilha!$B$605</f>
        <v>07.09</v>
      </c>
      <c r="B143" s="130" t="str">
        <f>Planilha!$C$605</f>
        <v>Sub-Grupo 07.09</v>
      </c>
      <c r="C143" s="131">
        <f t="shared" si="13"/>
        <v>0</v>
      </c>
      <c r="D143" s="131">
        <f t="shared" si="12"/>
        <v>0</v>
      </c>
      <c r="E143" s="132">
        <f>SG_07_09</f>
        <v>0</v>
      </c>
    </row>
    <row r="144" spans="1:5" s="114" customFormat="1" hidden="1">
      <c r="A144" s="133" t="str">
        <f>Planilha!$B$609</f>
        <v>07.10</v>
      </c>
      <c r="B144" s="130" t="str">
        <f>Planilha!$C$609</f>
        <v>Sub-Grupo 07.10</v>
      </c>
      <c r="C144" s="131">
        <f t="shared" si="13"/>
        <v>0</v>
      </c>
      <c r="D144" s="131">
        <f t="shared" si="12"/>
        <v>0</v>
      </c>
      <c r="E144" s="132">
        <f>SG_07_10</f>
        <v>0</v>
      </c>
    </row>
    <row r="145" spans="1:5" s="114" customFormat="1" hidden="1">
      <c r="A145" s="133" t="str">
        <f>Planilha!$B$613</f>
        <v>07.11</v>
      </c>
      <c r="B145" s="130" t="str">
        <f>Planilha!$C$613</f>
        <v>Sub-Grupo 07.11</v>
      </c>
      <c r="C145" s="131">
        <f t="shared" si="13"/>
        <v>0</v>
      </c>
      <c r="D145" s="131">
        <f t="shared" si="12"/>
        <v>0</v>
      </c>
      <c r="E145" s="132">
        <f>SG_07_11</f>
        <v>0</v>
      </c>
    </row>
    <row r="146" spans="1:5" s="114" customFormat="1" hidden="1">
      <c r="A146" s="133" t="str">
        <f>Planilha!$B$617</f>
        <v>07.12</v>
      </c>
      <c r="B146" s="130" t="str">
        <f>Planilha!$C$617</f>
        <v>Sub-Grupo 07.12</v>
      </c>
      <c r="C146" s="131">
        <f t="shared" si="13"/>
        <v>0</v>
      </c>
      <c r="D146" s="131">
        <f t="shared" si="12"/>
        <v>0</v>
      </c>
      <c r="E146" s="132">
        <f>SG_07_12</f>
        <v>0</v>
      </c>
    </row>
    <row r="147" spans="1:5" s="114" customFormat="1" hidden="1">
      <c r="A147" s="133" t="str">
        <f>Planilha!$B$621</f>
        <v>07.13</v>
      </c>
      <c r="B147" s="130" t="str">
        <f>Planilha!$C$621</f>
        <v>Sub-Grupo 07.13</v>
      </c>
      <c r="C147" s="131">
        <f t="shared" si="13"/>
        <v>0</v>
      </c>
      <c r="D147" s="131">
        <f t="shared" si="12"/>
        <v>0</v>
      </c>
      <c r="E147" s="132">
        <f>SG_07_13</f>
        <v>0</v>
      </c>
    </row>
    <row r="148" spans="1:5" s="114" customFormat="1" hidden="1">
      <c r="A148" s="133" t="str">
        <f>Planilha!$B$625</f>
        <v>07.14</v>
      </c>
      <c r="B148" s="130" t="str">
        <f>Planilha!$C$625</f>
        <v>Sub-Grupo 07.14</v>
      </c>
      <c r="C148" s="131">
        <f t="shared" si="13"/>
        <v>0</v>
      </c>
      <c r="D148" s="131">
        <f t="shared" si="12"/>
        <v>0</v>
      </c>
      <c r="E148" s="132">
        <f>SG_07_14</f>
        <v>0</v>
      </c>
    </row>
    <row r="149" spans="1:5" s="114" customFormat="1" hidden="1">
      <c r="A149" s="133" t="str">
        <f>Planilha!$B$629</f>
        <v>07.15</v>
      </c>
      <c r="B149" s="130" t="str">
        <f>Planilha!$C$629</f>
        <v>Sub-Grupo 07.15</v>
      </c>
      <c r="C149" s="131">
        <f t="shared" si="13"/>
        <v>0</v>
      </c>
      <c r="D149" s="131">
        <f t="shared" ref="D149:D154" si="14">IF(TOTAL_GERAL=0,0,ROUND(100*E149/TOTAL_GERAL,2))</f>
        <v>0</v>
      </c>
      <c r="E149" s="132">
        <f>SG_07_15</f>
        <v>0</v>
      </c>
    </row>
    <row r="150" spans="1:5" s="114" customFormat="1" hidden="1">
      <c r="A150" s="133" t="str">
        <f>Planilha!$B$633</f>
        <v>07.16</v>
      </c>
      <c r="B150" s="130" t="str">
        <f>Planilha!$C$633</f>
        <v>Sub-Grupo 07.16</v>
      </c>
      <c r="C150" s="131">
        <f t="shared" si="13"/>
        <v>0</v>
      </c>
      <c r="D150" s="131">
        <f t="shared" si="14"/>
        <v>0</v>
      </c>
      <c r="E150" s="132">
        <f>SG_07_16</f>
        <v>0</v>
      </c>
    </row>
    <row r="151" spans="1:5" s="114" customFormat="1" hidden="1">
      <c r="A151" s="133" t="str">
        <f>Planilha!$B$637</f>
        <v>07.17</v>
      </c>
      <c r="B151" s="130" t="str">
        <f>Planilha!$C$637</f>
        <v>Sub-Grupo 07.17</v>
      </c>
      <c r="C151" s="131">
        <f t="shared" si="13"/>
        <v>0</v>
      </c>
      <c r="D151" s="131">
        <f t="shared" si="14"/>
        <v>0</v>
      </c>
      <c r="E151" s="132">
        <f>SG_07_17</f>
        <v>0</v>
      </c>
    </row>
    <row r="152" spans="1:5" s="114" customFormat="1" hidden="1">
      <c r="A152" s="133" t="str">
        <f>Planilha!$B$641</f>
        <v>07.18</v>
      </c>
      <c r="B152" s="130" t="str">
        <f>Planilha!$C$641</f>
        <v>Sub-Grupo 07.18</v>
      </c>
      <c r="C152" s="131">
        <f>IF(G_07=0,0,ROUND(100*E152/G_07,2))</f>
        <v>0</v>
      </c>
      <c r="D152" s="131">
        <f t="shared" si="14"/>
        <v>0</v>
      </c>
      <c r="E152" s="132">
        <f>SG_07_18</f>
        <v>0</v>
      </c>
    </row>
    <row r="153" spans="1:5" s="114" customFormat="1" hidden="1">
      <c r="A153" s="133" t="str">
        <f>Planilha!$B$645</f>
        <v>07.19</v>
      </c>
      <c r="B153" s="130" t="str">
        <f>Planilha!$C$645</f>
        <v>Sub-Grupo 07.19</v>
      </c>
      <c r="C153" s="131">
        <f>IF(G_07=0,0,ROUND(100*E153/G_07,2))</f>
        <v>0</v>
      </c>
      <c r="D153" s="131">
        <f t="shared" si="14"/>
        <v>0</v>
      </c>
      <c r="E153" s="132">
        <f>SG_07_19</f>
        <v>0</v>
      </c>
    </row>
    <row r="154" spans="1:5" s="114" customFormat="1" hidden="1">
      <c r="A154" s="133" t="str">
        <f>Planilha!$B$649</f>
        <v>07.20</v>
      </c>
      <c r="B154" s="130" t="str">
        <f>Planilha!$C$649</f>
        <v>Sub-Grupo 07.20</v>
      </c>
      <c r="C154" s="131">
        <f>IF(G_07=0,0,ROUND(100*E154/G_07,2))</f>
        <v>0</v>
      </c>
      <c r="D154" s="131">
        <f t="shared" si="14"/>
        <v>0</v>
      </c>
      <c r="E154" s="132">
        <f>SG_07_20</f>
        <v>0</v>
      </c>
    </row>
    <row r="155" spans="1:5" s="114" customFormat="1" hidden="1">
      <c r="A155" s="125" t="str">
        <f>Planilha!$B$654</f>
        <v>08</v>
      </c>
      <c r="B155" s="125" t="str">
        <f>Planilha!$C$654</f>
        <v>GRUPO 08</v>
      </c>
      <c r="C155" s="126"/>
      <c r="D155" s="127">
        <f>IF(TOTAL_GERAL=0,0,ROUND(100*G_08/TOTAL_GERAL,2))</f>
        <v>0</v>
      </c>
      <c r="E155" s="128">
        <f>G_08</f>
        <v>0</v>
      </c>
    </row>
    <row r="156" spans="1:5" s="114" customFormat="1" hidden="1">
      <c r="A156" s="133" t="str">
        <f>Planilha!$B$655</f>
        <v>08.01</v>
      </c>
      <c r="B156" s="130" t="str">
        <f>Planilha!$C$655</f>
        <v>Sub-Grupo 08.01</v>
      </c>
      <c r="C156" s="131">
        <f>IF(G_08=0,0,ROUND(100*E156/G_08,2))</f>
        <v>0</v>
      </c>
      <c r="D156" s="131">
        <f>IF(TOTAL_GERAL=0,0,ROUND(100*E156/TOTAL_GERAL,2))</f>
        <v>0</v>
      </c>
      <c r="E156" s="132">
        <f>SG_08_01</f>
        <v>0</v>
      </c>
    </row>
    <row r="157" spans="1:5" s="114" customFormat="1" hidden="1">
      <c r="A157" s="133" t="str">
        <f>Planilha!$B$659</f>
        <v>08.02</v>
      </c>
      <c r="B157" s="130" t="str">
        <f>Planilha!$C$659</f>
        <v>Sub-Grupo 08.02</v>
      </c>
      <c r="C157" s="131">
        <f t="shared" ref="C157:C172" si="15">IF(G_08=0,0,ROUND(100*E157/G_08,2))</f>
        <v>0</v>
      </c>
      <c r="D157" s="131">
        <f t="shared" ref="D157:D170" si="16">IF(TOTAL_GERAL=0,0,ROUND(100*E157/TOTAL_GERAL,2))</f>
        <v>0</v>
      </c>
      <c r="E157" s="132">
        <f>SG_08_02</f>
        <v>0</v>
      </c>
    </row>
    <row r="158" spans="1:5" s="114" customFormat="1" hidden="1">
      <c r="A158" s="133" t="str">
        <f>Planilha!$B$663</f>
        <v>08.03</v>
      </c>
      <c r="B158" s="130" t="str">
        <f>Planilha!$C$663</f>
        <v>Sub-Grupo 08.03</v>
      </c>
      <c r="C158" s="131">
        <f t="shared" si="15"/>
        <v>0</v>
      </c>
      <c r="D158" s="131">
        <f t="shared" si="16"/>
        <v>0</v>
      </c>
      <c r="E158" s="132">
        <f>SG_08_03</f>
        <v>0</v>
      </c>
    </row>
    <row r="159" spans="1:5" s="114" customFormat="1" hidden="1">
      <c r="A159" s="133" t="str">
        <f>Planilha!$B$667</f>
        <v>08.04</v>
      </c>
      <c r="B159" s="130" t="str">
        <f>Planilha!$C$667</f>
        <v>Sub-Grupo 08.04</v>
      </c>
      <c r="C159" s="131">
        <f t="shared" si="15"/>
        <v>0</v>
      </c>
      <c r="D159" s="131">
        <f t="shared" si="16"/>
        <v>0</v>
      </c>
      <c r="E159" s="132">
        <f>SG_08_04</f>
        <v>0</v>
      </c>
    </row>
    <row r="160" spans="1:5" s="114" customFormat="1" hidden="1">
      <c r="A160" s="133" t="str">
        <f>Planilha!$B$671</f>
        <v>08.05</v>
      </c>
      <c r="B160" s="130" t="str">
        <f>Planilha!$C$671</f>
        <v>Sub-Grupo 08.05</v>
      </c>
      <c r="C160" s="131">
        <f t="shared" si="15"/>
        <v>0</v>
      </c>
      <c r="D160" s="131">
        <f t="shared" si="16"/>
        <v>0</v>
      </c>
      <c r="E160" s="132">
        <f>SG_08_05</f>
        <v>0</v>
      </c>
    </row>
    <row r="161" spans="1:5" s="114" customFormat="1" hidden="1">
      <c r="A161" s="133" t="str">
        <f>Planilha!$B$675</f>
        <v>08.06</v>
      </c>
      <c r="B161" s="130" t="str">
        <f>Planilha!$C$675</f>
        <v>Sub-Grupo 08.06</v>
      </c>
      <c r="C161" s="131">
        <f t="shared" si="15"/>
        <v>0</v>
      </c>
      <c r="D161" s="131">
        <f t="shared" si="16"/>
        <v>0</v>
      </c>
      <c r="E161" s="132">
        <f>SG_08_06</f>
        <v>0</v>
      </c>
    </row>
    <row r="162" spans="1:5" s="114" customFormat="1" hidden="1">
      <c r="A162" s="133" t="str">
        <f>Planilha!$B$679</f>
        <v>08.07</v>
      </c>
      <c r="B162" s="130" t="str">
        <f>Planilha!$C$679</f>
        <v>Sub-Grupo 08.07</v>
      </c>
      <c r="C162" s="131">
        <f t="shared" si="15"/>
        <v>0</v>
      </c>
      <c r="D162" s="131">
        <f t="shared" si="16"/>
        <v>0</v>
      </c>
      <c r="E162" s="132">
        <f>SG_08_07</f>
        <v>0</v>
      </c>
    </row>
    <row r="163" spans="1:5" s="114" customFormat="1" hidden="1">
      <c r="A163" s="133" t="str">
        <f>Planilha!$B$683</f>
        <v>08.08</v>
      </c>
      <c r="B163" s="130" t="str">
        <f>Planilha!$C$683</f>
        <v>Sub-Grupo 08.08</v>
      </c>
      <c r="C163" s="131">
        <f t="shared" si="15"/>
        <v>0</v>
      </c>
      <c r="D163" s="131">
        <f t="shared" si="16"/>
        <v>0</v>
      </c>
      <c r="E163" s="132">
        <f>SG_08_08</f>
        <v>0</v>
      </c>
    </row>
    <row r="164" spans="1:5" s="114" customFormat="1" hidden="1">
      <c r="A164" s="133" t="str">
        <f>Planilha!$B$687</f>
        <v>08.09</v>
      </c>
      <c r="B164" s="130" t="str">
        <f>Planilha!$C$687</f>
        <v>Sub-Grupo 08.09</v>
      </c>
      <c r="C164" s="131">
        <f t="shared" si="15"/>
        <v>0</v>
      </c>
      <c r="D164" s="131">
        <f t="shared" si="16"/>
        <v>0</v>
      </c>
      <c r="E164" s="132">
        <f>SG_08_09</f>
        <v>0</v>
      </c>
    </row>
    <row r="165" spans="1:5" s="114" customFormat="1" hidden="1">
      <c r="A165" s="133" t="str">
        <f>Planilha!$B$691</f>
        <v>08.10</v>
      </c>
      <c r="B165" s="130" t="str">
        <f>Planilha!$C$691</f>
        <v>Sub-Grupo 08.10</v>
      </c>
      <c r="C165" s="131">
        <f t="shared" si="15"/>
        <v>0</v>
      </c>
      <c r="D165" s="131">
        <f t="shared" si="16"/>
        <v>0</v>
      </c>
      <c r="E165" s="132">
        <f>SG_08_10</f>
        <v>0</v>
      </c>
    </row>
    <row r="166" spans="1:5" s="114" customFormat="1" hidden="1">
      <c r="A166" s="133" t="str">
        <f>Planilha!$B$695</f>
        <v>08.11</v>
      </c>
      <c r="B166" s="130" t="str">
        <f>Planilha!$C$695</f>
        <v>Sub-Grupo 08.11</v>
      </c>
      <c r="C166" s="131">
        <f t="shared" si="15"/>
        <v>0</v>
      </c>
      <c r="D166" s="131">
        <f t="shared" si="16"/>
        <v>0</v>
      </c>
      <c r="E166" s="132">
        <f>SG_08_11</f>
        <v>0</v>
      </c>
    </row>
    <row r="167" spans="1:5" s="114" customFormat="1" hidden="1">
      <c r="A167" s="133" t="str">
        <f>Planilha!$B$699</f>
        <v>08.12</v>
      </c>
      <c r="B167" s="130" t="str">
        <f>Planilha!$C$699</f>
        <v>Sub-Grupo 08.12</v>
      </c>
      <c r="C167" s="131">
        <f t="shared" si="15"/>
        <v>0</v>
      </c>
      <c r="D167" s="131">
        <f t="shared" si="16"/>
        <v>0</v>
      </c>
      <c r="E167" s="132">
        <f>SG_08_12</f>
        <v>0</v>
      </c>
    </row>
    <row r="168" spans="1:5" s="114" customFormat="1" hidden="1">
      <c r="A168" s="133" t="str">
        <f>Planilha!$B$703</f>
        <v>08.13</v>
      </c>
      <c r="B168" s="130" t="str">
        <f>Planilha!$C$703</f>
        <v>Sub-Grupo 08.13</v>
      </c>
      <c r="C168" s="131">
        <f t="shared" si="15"/>
        <v>0</v>
      </c>
      <c r="D168" s="131">
        <f t="shared" si="16"/>
        <v>0</v>
      </c>
      <c r="E168" s="132">
        <f>SG_08_13</f>
        <v>0</v>
      </c>
    </row>
    <row r="169" spans="1:5" s="114" customFormat="1" hidden="1">
      <c r="A169" s="133" t="str">
        <f>Planilha!$B$707</f>
        <v>08.14</v>
      </c>
      <c r="B169" s="130" t="str">
        <f>Planilha!$C$707</f>
        <v>Sub-Grupo 08.14</v>
      </c>
      <c r="C169" s="131">
        <f t="shared" si="15"/>
        <v>0</v>
      </c>
      <c r="D169" s="131">
        <f t="shared" si="16"/>
        <v>0</v>
      </c>
      <c r="E169" s="132">
        <f>SG_08_14</f>
        <v>0</v>
      </c>
    </row>
    <row r="170" spans="1:5" s="114" customFormat="1" hidden="1">
      <c r="A170" s="133" t="str">
        <f>Planilha!$B$711</f>
        <v>08.15</v>
      </c>
      <c r="B170" s="130" t="str">
        <f>Planilha!$C$711</f>
        <v>Sub-Grupo 08.15</v>
      </c>
      <c r="C170" s="131">
        <f t="shared" si="15"/>
        <v>0</v>
      </c>
      <c r="D170" s="131">
        <f t="shared" si="16"/>
        <v>0</v>
      </c>
      <c r="E170" s="132">
        <f>SG_08_15</f>
        <v>0</v>
      </c>
    </row>
    <row r="171" spans="1:5" s="114" customFormat="1" hidden="1">
      <c r="A171" s="133" t="str">
        <f>Planilha!$B$715</f>
        <v>08.16</v>
      </c>
      <c r="B171" s="130" t="str">
        <f>Planilha!$C$715</f>
        <v>Sub-Grupo 08.16</v>
      </c>
      <c r="C171" s="131">
        <f t="shared" si="15"/>
        <v>0</v>
      </c>
      <c r="D171" s="131">
        <f>IF(TOTAL_GERAL=0,0,ROUND(100*E171/TOTAL_GERAL,2))</f>
        <v>0</v>
      </c>
      <c r="E171" s="132">
        <f>SG_08_16</f>
        <v>0</v>
      </c>
    </row>
    <row r="172" spans="1:5" s="114" customFormat="1" hidden="1">
      <c r="A172" s="133" t="str">
        <f>Planilha!$B$719</f>
        <v>08.17</v>
      </c>
      <c r="B172" s="130" t="str">
        <f>Planilha!$C$719</f>
        <v>Sub-Grupo 08.17</v>
      </c>
      <c r="C172" s="131">
        <f t="shared" si="15"/>
        <v>0</v>
      </c>
      <c r="D172" s="131">
        <f>IF(TOTAL_GERAL=0,0,ROUND(100*E172/TOTAL_GERAL,2))</f>
        <v>0</v>
      </c>
      <c r="E172" s="132">
        <f>SG_08_17</f>
        <v>0</v>
      </c>
    </row>
    <row r="173" spans="1:5" s="114" customFormat="1" hidden="1">
      <c r="A173" s="133" t="str">
        <f>Planilha!$B$723</f>
        <v>08.18</v>
      </c>
      <c r="B173" s="130" t="str">
        <f>Planilha!$C$723</f>
        <v>Sub-Grupo 08.18</v>
      </c>
      <c r="C173" s="131">
        <f>IF(G_08=0,0,ROUND(100*E173/G_08,2))</f>
        <v>0</v>
      </c>
      <c r="D173" s="131">
        <f>IF(TOTAL_GERAL=0,0,ROUND(100*E173/TOTAL_GERAL,2))</f>
        <v>0</v>
      </c>
      <c r="E173" s="132">
        <f>SG_08_18</f>
        <v>0</v>
      </c>
    </row>
    <row r="174" spans="1:5" s="114" customFormat="1" hidden="1">
      <c r="A174" s="133" t="str">
        <f>Planilha!$B$727</f>
        <v>08.19</v>
      </c>
      <c r="B174" s="130" t="str">
        <f>Planilha!$C$727</f>
        <v>Sub-Grupo 08.19</v>
      </c>
      <c r="C174" s="131">
        <f>IF(G_08=0,0,ROUND(100*E174/G_08,2))</f>
        <v>0</v>
      </c>
      <c r="D174" s="131">
        <f>IF(TOTAL_GERAL=0,0,ROUND(100*E174/TOTAL_GERAL,2))</f>
        <v>0</v>
      </c>
      <c r="E174" s="132">
        <f>SG_08_19</f>
        <v>0</v>
      </c>
    </row>
    <row r="175" spans="1:5" s="114" customFormat="1" hidden="1">
      <c r="A175" s="133" t="str">
        <f>Planilha!$B$731</f>
        <v>08.20</v>
      </c>
      <c r="B175" s="130" t="str">
        <f>Planilha!$C$731</f>
        <v>Sub-Grupo 08.20</v>
      </c>
      <c r="C175" s="131">
        <f>IF(G_08=0,0,ROUND(100*E175/G_08,2))</f>
        <v>0</v>
      </c>
      <c r="D175" s="131">
        <f>IF(TOTAL_GERAL=0,0,ROUND(100*E175/TOTAL_GERAL,2))</f>
        <v>0</v>
      </c>
      <c r="E175" s="132">
        <f>SG_08_20</f>
        <v>0</v>
      </c>
    </row>
    <row r="176" spans="1:5" s="114" customFormat="1" hidden="1">
      <c r="A176" s="125" t="str">
        <f>Planilha!$B$736</f>
        <v>09</v>
      </c>
      <c r="B176" s="125" t="str">
        <f>Planilha!$C$736</f>
        <v>GRUPO 09</v>
      </c>
      <c r="C176" s="126"/>
      <c r="D176" s="127">
        <f>IF(TOTAL_GERAL=0,0,ROUND(100*G_09/TOTAL_GERAL,2))</f>
        <v>0</v>
      </c>
      <c r="E176" s="128">
        <f>G_09</f>
        <v>0</v>
      </c>
    </row>
    <row r="177" spans="1:5" s="114" customFormat="1" hidden="1">
      <c r="A177" s="133" t="str">
        <f>Planilha!$B$737</f>
        <v>09.01</v>
      </c>
      <c r="B177" s="130" t="str">
        <f>Planilha!$C$737</f>
        <v>Sub-Grupo 09.01</v>
      </c>
      <c r="C177" s="131">
        <f>IF(G_09=0,0,ROUND(100*E177/G_09,2))</f>
        <v>0</v>
      </c>
      <c r="D177" s="131">
        <f>IF(TOTAL_GERAL=0,0,ROUND(100*E177/TOTAL_GERAL,2))</f>
        <v>0</v>
      </c>
      <c r="E177" s="132">
        <f>SG_09_01</f>
        <v>0</v>
      </c>
    </row>
    <row r="178" spans="1:5" s="114" customFormat="1" hidden="1">
      <c r="A178" s="133" t="str">
        <f>Planilha!$B$741</f>
        <v>09.02</v>
      </c>
      <c r="B178" s="130" t="str">
        <f>Planilha!$C$741</f>
        <v>Sub-Grupo 09.02</v>
      </c>
      <c r="C178" s="131">
        <f t="shared" ref="C178:C193" si="17">IF(G_09=0,0,ROUND(100*E178/G_09,2))</f>
        <v>0</v>
      </c>
      <c r="D178" s="131">
        <f t="shared" ref="D178:D191" si="18">IF(TOTAL_GERAL=0,0,ROUND(100*E178/TOTAL_GERAL,2))</f>
        <v>0</v>
      </c>
      <c r="E178" s="132">
        <f>SG_09_02</f>
        <v>0</v>
      </c>
    </row>
    <row r="179" spans="1:5" s="114" customFormat="1" hidden="1">
      <c r="A179" s="133" t="str">
        <f>Planilha!$B$745</f>
        <v>09.03</v>
      </c>
      <c r="B179" s="130" t="str">
        <f>Planilha!$C$745</f>
        <v>Sub-Grupo 09.03</v>
      </c>
      <c r="C179" s="131">
        <f t="shared" si="17"/>
        <v>0</v>
      </c>
      <c r="D179" s="131">
        <f t="shared" si="18"/>
        <v>0</v>
      </c>
      <c r="E179" s="132">
        <f>SG_09_03</f>
        <v>0</v>
      </c>
    </row>
    <row r="180" spans="1:5" s="114" customFormat="1" hidden="1">
      <c r="A180" s="133" t="str">
        <f>Planilha!$B$749</f>
        <v>09.04</v>
      </c>
      <c r="B180" s="130" t="str">
        <f>Planilha!$C$749</f>
        <v>Sub-Grupo 09.04</v>
      </c>
      <c r="C180" s="131">
        <f t="shared" si="17"/>
        <v>0</v>
      </c>
      <c r="D180" s="131">
        <f t="shared" si="18"/>
        <v>0</v>
      </c>
      <c r="E180" s="132">
        <f>SG_09_04</f>
        <v>0</v>
      </c>
    </row>
    <row r="181" spans="1:5" s="114" customFormat="1" hidden="1">
      <c r="A181" s="133" t="str">
        <f>Planilha!$B$753</f>
        <v>09.05</v>
      </c>
      <c r="B181" s="130" t="str">
        <f>Planilha!$C$753</f>
        <v>Sub-Grupo 09.05</v>
      </c>
      <c r="C181" s="131">
        <f t="shared" si="17"/>
        <v>0</v>
      </c>
      <c r="D181" s="131">
        <f t="shared" si="18"/>
        <v>0</v>
      </c>
      <c r="E181" s="132">
        <f>SG_09_05</f>
        <v>0</v>
      </c>
    </row>
    <row r="182" spans="1:5" s="114" customFormat="1" hidden="1">
      <c r="A182" s="133" t="str">
        <f>Planilha!$B$757</f>
        <v>09.06</v>
      </c>
      <c r="B182" s="130" t="str">
        <f>Planilha!$C$757</f>
        <v>Sub-Grupo 09.06</v>
      </c>
      <c r="C182" s="131">
        <f t="shared" si="17"/>
        <v>0</v>
      </c>
      <c r="D182" s="131">
        <f t="shared" si="18"/>
        <v>0</v>
      </c>
      <c r="E182" s="132">
        <f>SG_09_06</f>
        <v>0</v>
      </c>
    </row>
    <row r="183" spans="1:5" s="114" customFormat="1" hidden="1">
      <c r="A183" s="133" t="str">
        <f>Planilha!$B$761</f>
        <v>09.07</v>
      </c>
      <c r="B183" s="130" t="str">
        <f>Planilha!$C$761</f>
        <v>Sub-Grupo 09.07</v>
      </c>
      <c r="C183" s="131">
        <f t="shared" si="17"/>
        <v>0</v>
      </c>
      <c r="D183" s="131">
        <f t="shared" si="18"/>
        <v>0</v>
      </c>
      <c r="E183" s="132">
        <f>SG_09_07</f>
        <v>0</v>
      </c>
    </row>
    <row r="184" spans="1:5" s="114" customFormat="1" hidden="1">
      <c r="A184" s="133" t="str">
        <f>Planilha!$B$765</f>
        <v>09.08</v>
      </c>
      <c r="B184" s="130" t="str">
        <f>Planilha!$C$765</f>
        <v>Sub-Grupo 09.08</v>
      </c>
      <c r="C184" s="131">
        <f t="shared" si="17"/>
        <v>0</v>
      </c>
      <c r="D184" s="131">
        <f t="shared" si="18"/>
        <v>0</v>
      </c>
      <c r="E184" s="132">
        <f>SG_09_08</f>
        <v>0</v>
      </c>
    </row>
    <row r="185" spans="1:5" s="114" customFormat="1" hidden="1">
      <c r="A185" s="133" t="str">
        <f>Planilha!$B$769</f>
        <v>09.09</v>
      </c>
      <c r="B185" s="130" t="str">
        <f>Planilha!$C$769</f>
        <v>Sub-Grupo 09.09</v>
      </c>
      <c r="C185" s="131">
        <f t="shared" si="17"/>
        <v>0</v>
      </c>
      <c r="D185" s="131">
        <f t="shared" si="18"/>
        <v>0</v>
      </c>
      <c r="E185" s="132">
        <f>SG_09_09</f>
        <v>0</v>
      </c>
    </row>
    <row r="186" spans="1:5" s="114" customFormat="1" hidden="1">
      <c r="A186" s="133" t="str">
        <f>Planilha!$B$773</f>
        <v>09.10</v>
      </c>
      <c r="B186" s="130" t="str">
        <f>Planilha!$C$773</f>
        <v>Sub-Grupo 09.10</v>
      </c>
      <c r="C186" s="131">
        <f t="shared" si="17"/>
        <v>0</v>
      </c>
      <c r="D186" s="131">
        <f t="shared" si="18"/>
        <v>0</v>
      </c>
      <c r="E186" s="132">
        <f>SG_09_10</f>
        <v>0</v>
      </c>
    </row>
    <row r="187" spans="1:5" s="114" customFormat="1" hidden="1">
      <c r="A187" s="133" t="str">
        <f>Planilha!$B$777</f>
        <v>09.11</v>
      </c>
      <c r="B187" s="130" t="str">
        <f>Planilha!$C$777</f>
        <v>Sub-Grupo 09.11</v>
      </c>
      <c r="C187" s="131">
        <f t="shared" si="17"/>
        <v>0</v>
      </c>
      <c r="D187" s="131">
        <f t="shared" si="18"/>
        <v>0</v>
      </c>
      <c r="E187" s="132">
        <f>SG_09_11</f>
        <v>0</v>
      </c>
    </row>
    <row r="188" spans="1:5" s="114" customFormat="1" hidden="1">
      <c r="A188" s="133" t="str">
        <f>Planilha!$B$781</f>
        <v>09.12</v>
      </c>
      <c r="B188" s="130" t="str">
        <f>Planilha!$C$781</f>
        <v>Sub-Grupo 09.12</v>
      </c>
      <c r="C188" s="131">
        <f t="shared" si="17"/>
        <v>0</v>
      </c>
      <c r="D188" s="131">
        <f t="shared" si="18"/>
        <v>0</v>
      </c>
      <c r="E188" s="132">
        <f>SG_09_12</f>
        <v>0</v>
      </c>
    </row>
    <row r="189" spans="1:5" s="114" customFormat="1" hidden="1">
      <c r="A189" s="133" t="str">
        <f>Planilha!$B$785</f>
        <v>09.13</v>
      </c>
      <c r="B189" s="130" t="str">
        <f>Planilha!$C$785</f>
        <v>Sub-Grupo 09.13</v>
      </c>
      <c r="C189" s="131">
        <f t="shared" si="17"/>
        <v>0</v>
      </c>
      <c r="D189" s="131">
        <f t="shared" si="18"/>
        <v>0</v>
      </c>
      <c r="E189" s="132">
        <f>SG_09_13</f>
        <v>0</v>
      </c>
    </row>
    <row r="190" spans="1:5" s="114" customFormat="1" hidden="1">
      <c r="A190" s="133" t="str">
        <f>Planilha!$B$789</f>
        <v>09.14</v>
      </c>
      <c r="B190" s="130" t="str">
        <f>Planilha!$C$789</f>
        <v>Sub-Grupo 09.14</v>
      </c>
      <c r="C190" s="131">
        <f t="shared" si="17"/>
        <v>0</v>
      </c>
      <c r="D190" s="131">
        <f t="shared" si="18"/>
        <v>0</v>
      </c>
      <c r="E190" s="132">
        <f>SG_09_14</f>
        <v>0</v>
      </c>
    </row>
    <row r="191" spans="1:5" s="114" customFormat="1" hidden="1">
      <c r="A191" s="133" t="str">
        <f>Planilha!$B$793</f>
        <v>09.15</v>
      </c>
      <c r="B191" s="130" t="str">
        <f>Planilha!$C$793</f>
        <v>Sub-Grupo 09.15</v>
      </c>
      <c r="C191" s="131">
        <f t="shared" si="17"/>
        <v>0</v>
      </c>
      <c r="D191" s="131">
        <f t="shared" si="18"/>
        <v>0</v>
      </c>
      <c r="E191" s="132">
        <f>SG_09_15</f>
        <v>0</v>
      </c>
    </row>
    <row r="192" spans="1:5" s="114" customFormat="1" hidden="1">
      <c r="A192" s="133" t="str">
        <f>Planilha!$B$797</f>
        <v>09.16</v>
      </c>
      <c r="B192" s="130" t="str">
        <f>Planilha!$C$797</f>
        <v>Sub-Grupo 09.16</v>
      </c>
      <c r="C192" s="131">
        <f t="shared" si="17"/>
        <v>0</v>
      </c>
      <c r="D192" s="131">
        <f>IF(TOTAL_GERAL=0,0,ROUND(100*E192/TOTAL_GERAL,2))</f>
        <v>0</v>
      </c>
      <c r="E192" s="132">
        <f>SG_09_16</f>
        <v>0</v>
      </c>
    </row>
    <row r="193" spans="1:5" s="114" customFormat="1" hidden="1">
      <c r="A193" s="133" t="str">
        <f>Planilha!$B$801</f>
        <v>09.17</v>
      </c>
      <c r="B193" s="130" t="str">
        <f>Planilha!$C$801</f>
        <v>Sub-Grupo 09.17</v>
      </c>
      <c r="C193" s="131">
        <f t="shared" si="17"/>
        <v>0</v>
      </c>
      <c r="D193" s="131">
        <f>IF(TOTAL_GERAL=0,0,ROUND(100*E193/TOTAL_GERAL,2))</f>
        <v>0</v>
      </c>
      <c r="E193" s="132">
        <f>SG_09_17</f>
        <v>0</v>
      </c>
    </row>
    <row r="194" spans="1:5" s="114" customFormat="1" hidden="1">
      <c r="A194" s="133" t="str">
        <f>Planilha!$B$805</f>
        <v>09.18</v>
      </c>
      <c r="B194" s="130" t="str">
        <f>Planilha!$C$805</f>
        <v>Sub-Grupo 09.18</v>
      </c>
      <c r="C194" s="131">
        <f>IF(G_09=0,0,ROUND(100*E194/G_09,2))</f>
        <v>0</v>
      </c>
      <c r="D194" s="131">
        <f>IF(TOTAL_GERAL=0,0,ROUND(100*E194/TOTAL_GERAL,2))</f>
        <v>0</v>
      </c>
      <c r="E194" s="132">
        <f>SG_09_18</f>
        <v>0</v>
      </c>
    </row>
    <row r="195" spans="1:5" s="114" customFormat="1" hidden="1">
      <c r="A195" s="133" t="str">
        <f>Planilha!$B$809</f>
        <v>09.19</v>
      </c>
      <c r="B195" s="130" t="str">
        <f>Planilha!$C$809</f>
        <v>Sub-Grupo 09.19</v>
      </c>
      <c r="C195" s="131">
        <f>IF(G_09=0,0,ROUND(100*E195/G_09,2))</f>
        <v>0</v>
      </c>
      <c r="D195" s="131">
        <f>IF(TOTAL_GERAL=0,0,ROUND(100*E195/TOTAL_GERAL,2))</f>
        <v>0</v>
      </c>
      <c r="E195" s="132">
        <f>SG_09_19</f>
        <v>0</v>
      </c>
    </row>
    <row r="196" spans="1:5" s="114" customFormat="1" hidden="1">
      <c r="A196" s="133" t="str">
        <f>Planilha!$B$813</f>
        <v>09.20</v>
      </c>
      <c r="B196" s="130" t="str">
        <f>Planilha!$C$813</f>
        <v>Sub-Grupo 09.20</v>
      </c>
      <c r="C196" s="131">
        <f>IF(G_09=0,0,ROUND(100*E196/G_09,2))</f>
        <v>0</v>
      </c>
      <c r="D196" s="131">
        <f>IF(TOTAL_GERAL=0,0,ROUND(100*E196/TOTAL_GERAL,2))</f>
        <v>0</v>
      </c>
      <c r="E196" s="132">
        <f>SG_09_20</f>
        <v>0</v>
      </c>
    </row>
    <row r="197" spans="1:5" s="114" customFormat="1" hidden="1">
      <c r="A197" s="125" t="str">
        <f>Planilha!$B$818</f>
        <v>10</v>
      </c>
      <c r="B197" s="125" t="str">
        <f>Planilha!$C$818</f>
        <v>GRUPO 10</v>
      </c>
      <c r="C197" s="126"/>
      <c r="D197" s="127">
        <f>IF(TOTAL_GERAL=0,0,ROUND(100*G_10/TOTAL_GERAL,2))</f>
        <v>0</v>
      </c>
      <c r="E197" s="128">
        <f>G_10</f>
        <v>0</v>
      </c>
    </row>
    <row r="198" spans="1:5" s="114" customFormat="1" hidden="1">
      <c r="A198" s="133" t="str">
        <f>Planilha!$B$819</f>
        <v>10.01</v>
      </c>
      <c r="B198" s="130" t="str">
        <f>Planilha!$C$819</f>
        <v>Sub-Grupo 10.01</v>
      </c>
      <c r="C198" s="131">
        <f>IF(G_10=0,0,ROUND(100*E198/G_10,2))</f>
        <v>0</v>
      </c>
      <c r="D198" s="131">
        <f>IF(TOTAL_GERAL=0,0,ROUND(100*E198/TOTAL_GERAL,2))</f>
        <v>0</v>
      </c>
      <c r="E198" s="132">
        <f>SG_10_01</f>
        <v>0</v>
      </c>
    </row>
    <row r="199" spans="1:5" s="114" customFormat="1" hidden="1">
      <c r="A199" s="133" t="str">
        <f>Planilha!$B$823</f>
        <v>10.02</v>
      </c>
      <c r="B199" s="130" t="str">
        <f>Planilha!$C$823</f>
        <v>Sub-Grupo 10.02</v>
      </c>
      <c r="C199" s="131">
        <f t="shared" ref="C199:C214" si="19">IF(G_10=0,0,ROUND(100*E199/G_10,2))</f>
        <v>0</v>
      </c>
      <c r="D199" s="131">
        <f t="shared" ref="D199:D212" si="20">IF(TOTAL_GERAL=0,0,ROUND(100*E199/TOTAL_GERAL,2))</f>
        <v>0</v>
      </c>
      <c r="E199" s="132">
        <f>SG_10_02</f>
        <v>0</v>
      </c>
    </row>
    <row r="200" spans="1:5" s="114" customFormat="1" hidden="1">
      <c r="A200" s="133" t="str">
        <f>Planilha!$B$827</f>
        <v>10.03</v>
      </c>
      <c r="B200" s="130" t="str">
        <f>Planilha!$C$827</f>
        <v>Sub-Grupo 10.03</v>
      </c>
      <c r="C200" s="131">
        <f t="shared" si="19"/>
        <v>0</v>
      </c>
      <c r="D200" s="131">
        <f t="shared" si="20"/>
        <v>0</v>
      </c>
      <c r="E200" s="132">
        <f>SG_10_03</f>
        <v>0</v>
      </c>
    </row>
    <row r="201" spans="1:5" s="114" customFormat="1" hidden="1">
      <c r="A201" s="133" t="str">
        <f>Planilha!$B$831</f>
        <v>10.04</v>
      </c>
      <c r="B201" s="130" t="str">
        <f>Planilha!$C$831</f>
        <v>Sub-Grupo 10.04</v>
      </c>
      <c r="C201" s="131">
        <f t="shared" si="19"/>
        <v>0</v>
      </c>
      <c r="D201" s="131">
        <f t="shared" si="20"/>
        <v>0</v>
      </c>
      <c r="E201" s="132">
        <f>SG_10_04</f>
        <v>0</v>
      </c>
    </row>
    <row r="202" spans="1:5" s="114" customFormat="1" hidden="1">
      <c r="A202" s="133" t="str">
        <f>Planilha!$B$835</f>
        <v>10.05</v>
      </c>
      <c r="B202" s="130" t="str">
        <f>Planilha!$C$835</f>
        <v>Sub-Grupo 10.05</v>
      </c>
      <c r="C202" s="131">
        <f t="shared" si="19"/>
        <v>0</v>
      </c>
      <c r="D202" s="131">
        <f t="shared" si="20"/>
        <v>0</v>
      </c>
      <c r="E202" s="132">
        <f>SG_10_05</f>
        <v>0</v>
      </c>
    </row>
    <row r="203" spans="1:5" s="114" customFormat="1" hidden="1">
      <c r="A203" s="133" t="str">
        <f>Planilha!$B$839</f>
        <v>10.06</v>
      </c>
      <c r="B203" s="130" t="str">
        <f>Planilha!$C$839</f>
        <v>Sub-Grupo 10.06</v>
      </c>
      <c r="C203" s="131">
        <f t="shared" si="19"/>
        <v>0</v>
      </c>
      <c r="D203" s="131">
        <f t="shared" si="20"/>
        <v>0</v>
      </c>
      <c r="E203" s="132">
        <f>SG_10_06</f>
        <v>0</v>
      </c>
    </row>
    <row r="204" spans="1:5" s="114" customFormat="1" hidden="1">
      <c r="A204" s="133" t="str">
        <f>Planilha!$B$843</f>
        <v>10.07</v>
      </c>
      <c r="B204" s="130" t="str">
        <f>Planilha!$C$843</f>
        <v>Sub-Grupo 10.07</v>
      </c>
      <c r="C204" s="131">
        <f t="shared" si="19"/>
        <v>0</v>
      </c>
      <c r="D204" s="131">
        <f t="shared" si="20"/>
        <v>0</v>
      </c>
      <c r="E204" s="132">
        <f>SG_10_07</f>
        <v>0</v>
      </c>
    </row>
    <row r="205" spans="1:5" s="114" customFormat="1" hidden="1">
      <c r="A205" s="133" t="str">
        <f>Planilha!$B$847</f>
        <v>10.08</v>
      </c>
      <c r="B205" s="130" t="str">
        <f>Planilha!$C$847</f>
        <v>Sub-Grupo 10.08</v>
      </c>
      <c r="C205" s="131">
        <f t="shared" si="19"/>
        <v>0</v>
      </c>
      <c r="D205" s="131">
        <f t="shared" si="20"/>
        <v>0</v>
      </c>
      <c r="E205" s="132">
        <f>SG_10_08</f>
        <v>0</v>
      </c>
    </row>
    <row r="206" spans="1:5" s="114" customFormat="1" hidden="1">
      <c r="A206" s="133" t="str">
        <f>Planilha!$B$851</f>
        <v>10.09</v>
      </c>
      <c r="B206" s="130" t="str">
        <f>Planilha!$C$851</f>
        <v>Sub-Grupo 10.09</v>
      </c>
      <c r="C206" s="131">
        <f t="shared" si="19"/>
        <v>0</v>
      </c>
      <c r="D206" s="131">
        <f t="shared" si="20"/>
        <v>0</v>
      </c>
      <c r="E206" s="132">
        <f>SG_10_09</f>
        <v>0</v>
      </c>
    </row>
    <row r="207" spans="1:5" s="114" customFormat="1" hidden="1">
      <c r="A207" s="133" t="str">
        <f>Planilha!$B$855</f>
        <v>10.10</v>
      </c>
      <c r="B207" s="130" t="str">
        <f>Planilha!$C$855</f>
        <v>Sub-Grupo 10.10</v>
      </c>
      <c r="C207" s="131">
        <f t="shared" si="19"/>
        <v>0</v>
      </c>
      <c r="D207" s="131">
        <f t="shared" si="20"/>
        <v>0</v>
      </c>
      <c r="E207" s="132">
        <f>SG_10_10</f>
        <v>0</v>
      </c>
    </row>
    <row r="208" spans="1:5" s="114" customFormat="1" hidden="1">
      <c r="A208" s="133" t="str">
        <f>Planilha!$B$859</f>
        <v>10.11</v>
      </c>
      <c r="B208" s="130" t="str">
        <f>Planilha!$C$859</f>
        <v>Sub-Grupo 10.11</v>
      </c>
      <c r="C208" s="131">
        <f t="shared" si="19"/>
        <v>0</v>
      </c>
      <c r="D208" s="131">
        <f t="shared" si="20"/>
        <v>0</v>
      </c>
      <c r="E208" s="132">
        <f>SG_10_11</f>
        <v>0</v>
      </c>
    </row>
    <row r="209" spans="1:5" s="114" customFormat="1" hidden="1">
      <c r="A209" s="133" t="str">
        <f>Planilha!$B$863</f>
        <v>10.12</v>
      </c>
      <c r="B209" s="130" t="str">
        <f>Planilha!$C$863</f>
        <v>Sub-Grupo 10.12</v>
      </c>
      <c r="C209" s="131">
        <f t="shared" si="19"/>
        <v>0</v>
      </c>
      <c r="D209" s="131">
        <f t="shared" si="20"/>
        <v>0</v>
      </c>
      <c r="E209" s="132">
        <f>SG_10_12</f>
        <v>0</v>
      </c>
    </row>
    <row r="210" spans="1:5" s="114" customFormat="1" hidden="1">
      <c r="A210" s="133" t="str">
        <f>Planilha!$B$867</f>
        <v>10.13</v>
      </c>
      <c r="B210" s="130" t="str">
        <f>Planilha!$C$867</f>
        <v>Sub-Grupo 10.13</v>
      </c>
      <c r="C210" s="131">
        <f t="shared" si="19"/>
        <v>0</v>
      </c>
      <c r="D210" s="131">
        <f t="shared" si="20"/>
        <v>0</v>
      </c>
      <c r="E210" s="132">
        <f>SG_10_13</f>
        <v>0</v>
      </c>
    </row>
    <row r="211" spans="1:5" s="114" customFormat="1" hidden="1">
      <c r="A211" s="133" t="str">
        <f>Planilha!$B$871</f>
        <v>10.14</v>
      </c>
      <c r="B211" s="130" t="str">
        <f>Planilha!$C$871</f>
        <v>Sub-Grupo 10.14</v>
      </c>
      <c r="C211" s="131">
        <f t="shared" si="19"/>
        <v>0</v>
      </c>
      <c r="D211" s="131">
        <f t="shared" si="20"/>
        <v>0</v>
      </c>
      <c r="E211" s="132">
        <f>SG_10_14</f>
        <v>0</v>
      </c>
    </row>
    <row r="212" spans="1:5" s="114" customFormat="1" hidden="1">
      <c r="A212" s="133" t="str">
        <f>Planilha!$B$875</f>
        <v>10.15</v>
      </c>
      <c r="B212" s="130" t="str">
        <f>Planilha!$C$875</f>
        <v>Sub-Grupo 10.15</v>
      </c>
      <c r="C212" s="131">
        <f t="shared" si="19"/>
        <v>0</v>
      </c>
      <c r="D212" s="131">
        <f t="shared" si="20"/>
        <v>0</v>
      </c>
      <c r="E212" s="132">
        <f>SG_10_15</f>
        <v>0</v>
      </c>
    </row>
    <row r="213" spans="1:5" s="114" customFormat="1" hidden="1">
      <c r="A213" s="133" t="str">
        <f>Planilha!$B$879</f>
        <v>10.16</v>
      </c>
      <c r="B213" s="130" t="str">
        <f>Planilha!$C$879</f>
        <v>Sub-Grupo 10.16</v>
      </c>
      <c r="C213" s="131">
        <f t="shared" si="19"/>
        <v>0</v>
      </c>
      <c r="D213" s="131">
        <f>IF(TOTAL_GERAL=0,0,ROUND(100*E213/TOTAL_GERAL,2))</f>
        <v>0</v>
      </c>
      <c r="E213" s="132">
        <f>SG_10_16</f>
        <v>0</v>
      </c>
    </row>
    <row r="214" spans="1:5" s="114" customFormat="1" hidden="1">
      <c r="A214" s="133" t="str">
        <f>Planilha!$B$883</f>
        <v>10.17</v>
      </c>
      <c r="B214" s="130" t="str">
        <f>Planilha!$C$883</f>
        <v>Sub-Grupo 10.17</v>
      </c>
      <c r="C214" s="131">
        <f t="shared" si="19"/>
        <v>0</v>
      </c>
      <c r="D214" s="131">
        <f>IF(TOTAL_GERAL=0,0,ROUND(100*E214/TOTAL_GERAL,2))</f>
        <v>0</v>
      </c>
      <c r="E214" s="132">
        <f>SG_10_17</f>
        <v>0</v>
      </c>
    </row>
    <row r="215" spans="1:5" s="114" customFormat="1" hidden="1">
      <c r="A215" s="133" t="str">
        <f>Planilha!$B$887</f>
        <v>10.18</v>
      </c>
      <c r="B215" s="130" t="str">
        <f>Planilha!$C$887</f>
        <v>Sub-Grupo 10.18</v>
      </c>
      <c r="C215" s="131">
        <f>IF(G_10=0,0,ROUND(100*E215/G_10,2))</f>
        <v>0</v>
      </c>
      <c r="D215" s="131">
        <f>IF(TOTAL_GERAL=0,0,ROUND(100*E215/TOTAL_GERAL,2))</f>
        <v>0</v>
      </c>
      <c r="E215" s="132">
        <f>SG_10_18</f>
        <v>0</v>
      </c>
    </row>
    <row r="216" spans="1:5" s="114" customFormat="1" hidden="1">
      <c r="A216" s="133" t="str">
        <f>Planilha!$B$891</f>
        <v>10.19</v>
      </c>
      <c r="B216" s="130" t="str">
        <f>Planilha!$C$891</f>
        <v>Sub-Grupo 10.19</v>
      </c>
      <c r="C216" s="131">
        <f>IF(G_10=0,0,ROUND(100*E216/G_10,2))</f>
        <v>0</v>
      </c>
      <c r="D216" s="131">
        <f>IF(TOTAL_GERAL=0,0,ROUND(100*E216/TOTAL_GERAL,2))</f>
        <v>0</v>
      </c>
      <c r="E216" s="132">
        <f>SG_10_19</f>
        <v>0</v>
      </c>
    </row>
    <row r="217" spans="1:5" s="114" customFormat="1" hidden="1">
      <c r="A217" s="133" t="str">
        <f>Planilha!$B$895</f>
        <v>10.20</v>
      </c>
      <c r="B217" s="130" t="str">
        <f>Planilha!$C$895</f>
        <v>Sub-Grupo 10.20</v>
      </c>
      <c r="C217" s="131">
        <f>IF(G_10=0,0,ROUND(100*E217/G_10,2))</f>
        <v>0</v>
      </c>
      <c r="D217" s="131">
        <f>IF(TOTAL_GERAL=0,0,ROUND(100*E217/TOTAL_GERAL,2))</f>
        <v>0</v>
      </c>
      <c r="E217" s="132">
        <f>SG_10_20</f>
        <v>0</v>
      </c>
    </row>
    <row r="218" spans="1:5" s="114" customFormat="1" hidden="1">
      <c r="A218" s="125" t="str">
        <f>Planilha!$B$900</f>
        <v>11</v>
      </c>
      <c r="B218" s="125" t="str">
        <f>Planilha!$C$900</f>
        <v>GRUPO 11</v>
      </c>
      <c r="C218" s="126"/>
      <c r="D218" s="127">
        <f>IF(TOTAL_GERAL=0,0,ROUND(100*G_11/TOTAL_GERAL,2))</f>
        <v>0</v>
      </c>
      <c r="E218" s="128">
        <f>G_11</f>
        <v>0</v>
      </c>
    </row>
    <row r="219" spans="1:5" s="114" customFormat="1" hidden="1">
      <c r="A219" s="133" t="str">
        <f>Planilha!$B$901</f>
        <v>11.01</v>
      </c>
      <c r="B219" s="130" t="str">
        <f>Planilha!$C$901</f>
        <v>Sub-Grupo 11.01</v>
      </c>
      <c r="C219" s="131">
        <f>IF(G_11=0,0,ROUND(100*E219/G_11,2))</f>
        <v>0</v>
      </c>
      <c r="D219" s="131">
        <f>IF(TOTAL_GERAL=0,0,ROUND(100*E219/TOTAL_GERAL,2))</f>
        <v>0</v>
      </c>
      <c r="E219" s="132">
        <f>SG_11_01</f>
        <v>0</v>
      </c>
    </row>
    <row r="220" spans="1:5" s="114" customFormat="1" hidden="1">
      <c r="A220" s="133" t="str">
        <f>Planilha!$B$905</f>
        <v>11.02</v>
      </c>
      <c r="B220" s="130" t="str">
        <f>Planilha!$C$905</f>
        <v>Sub-Grupo 11.02</v>
      </c>
      <c r="C220" s="131">
        <f t="shared" ref="C220:C235" si="21">IF(G_11=0,0,ROUND(100*E220/G_11,2))</f>
        <v>0</v>
      </c>
      <c r="D220" s="131">
        <f t="shared" ref="D220:D233" si="22">IF(TOTAL_GERAL=0,0,ROUND(100*E220/TOTAL_GERAL,2))</f>
        <v>0</v>
      </c>
      <c r="E220" s="132">
        <f>SG_11_02</f>
        <v>0</v>
      </c>
    </row>
    <row r="221" spans="1:5" s="114" customFormat="1" hidden="1">
      <c r="A221" s="133" t="str">
        <f>Planilha!$B$909</f>
        <v>11.03</v>
      </c>
      <c r="B221" s="130" t="str">
        <f>Planilha!$C$909</f>
        <v>Sub-Grupo 11.03</v>
      </c>
      <c r="C221" s="131">
        <f t="shared" si="21"/>
        <v>0</v>
      </c>
      <c r="D221" s="131">
        <f t="shared" si="22"/>
        <v>0</v>
      </c>
      <c r="E221" s="132">
        <f>SG_11_03</f>
        <v>0</v>
      </c>
    </row>
    <row r="222" spans="1:5" s="114" customFormat="1" hidden="1">
      <c r="A222" s="133" t="str">
        <f>Planilha!$B$913</f>
        <v>11.04</v>
      </c>
      <c r="B222" s="130" t="str">
        <f>Planilha!$C$913</f>
        <v>Sub-Grupo 11.04</v>
      </c>
      <c r="C222" s="131">
        <f t="shared" si="21"/>
        <v>0</v>
      </c>
      <c r="D222" s="131">
        <f t="shared" si="22"/>
        <v>0</v>
      </c>
      <c r="E222" s="132">
        <f>SG_11_04</f>
        <v>0</v>
      </c>
    </row>
    <row r="223" spans="1:5" s="114" customFormat="1" hidden="1">
      <c r="A223" s="133" t="str">
        <f>Planilha!$B$917</f>
        <v>11.05</v>
      </c>
      <c r="B223" s="130" t="str">
        <f>Planilha!$C$917</f>
        <v>Sub-Grupo 11.05</v>
      </c>
      <c r="C223" s="131">
        <f t="shared" si="21"/>
        <v>0</v>
      </c>
      <c r="D223" s="131">
        <f t="shared" si="22"/>
        <v>0</v>
      </c>
      <c r="E223" s="132">
        <f>SG_11_05</f>
        <v>0</v>
      </c>
    </row>
    <row r="224" spans="1:5" s="114" customFormat="1" hidden="1">
      <c r="A224" s="133" t="str">
        <f>Planilha!$B$921</f>
        <v>11.06</v>
      </c>
      <c r="B224" s="130" t="str">
        <f>Planilha!$C$921</f>
        <v>Sub-Grupo 11.06</v>
      </c>
      <c r="C224" s="131">
        <f t="shared" si="21"/>
        <v>0</v>
      </c>
      <c r="D224" s="131">
        <f t="shared" si="22"/>
        <v>0</v>
      </c>
      <c r="E224" s="132">
        <f>SG_11_06</f>
        <v>0</v>
      </c>
    </row>
    <row r="225" spans="1:5" s="114" customFormat="1" hidden="1">
      <c r="A225" s="133" t="str">
        <f>Planilha!$B$925</f>
        <v>11.07</v>
      </c>
      <c r="B225" s="130" t="str">
        <f>Planilha!$C$925</f>
        <v>Sub-Grupo 11.07</v>
      </c>
      <c r="C225" s="131">
        <f t="shared" si="21"/>
        <v>0</v>
      </c>
      <c r="D225" s="131">
        <f t="shared" si="22"/>
        <v>0</v>
      </c>
      <c r="E225" s="132">
        <f>SG_11_07</f>
        <v>0</v>
      </c>
    </row>
    <row r="226" spans="1:5" s="114" customFormat="1" hidden="1">
      <c r="A226" s="133" t="str">
        <f>Planilha!$B$929</f>
        <v>11.08</v>
      </c>
      <c r="B226" s="130" t="str">
        <f>Planilha!$C$929</f>
        <v>Sub-Grupo 11.08</v>
      </c>
      <c r="C226" s="131">
        <f t="shared" si="21"/>
        <v>0</v>
      </c>
      <c r="D226" s="131">
        <f t="shared" si="22"/>
        <v>0</v>
      </c>
      <c r="E226" s="132">
        <f>SG_11_08</f>
        <v>0</v>
      </c>
    </row>
    <row r="227" spans="1:5" s="114" customFormat="1" hidden="1">
      <c r="A227" s="133" t="str">
        <f>Planilha!$B$933</f>
        <v>11.09</v>
      </c>
      <c r="B227" s="130" t="str">
        <f>Planilha!$C$933</f>
        <v>Sub-Grupo 11.09</v>
      </c>
      <c r="C227" s="131">
        <f t="shared" si="21"/>
        <v>0</v>
      </c>
      <c r="D227" s="131">
        <f t="shared" si="22"/>
        <v>0</v>
      </c>
      <c r="E227" s="132">
        <f>SG_11_09</f>
        <v>0</v>
      </c>
    </row>
    <row r="228" spans="1:5" s="114" customFormat="1" hidden="1">
      <c r="A228" s="133" t="str">
        <f>Planilha!$B$937</f>
        <v>11.10</v>
      </c>
      <c r="B228" s="130" t="str">
        <f>Planilha!$C$937</f>
        <v>Sub-Grupo 11.10</v>
      </c>
      <c r="C228" s="131">
        <f t="shared" si="21"/>
        <v>0</v>
      </c>
      <c r="D228" s="131">
        <f t="shared" si="22"/>
        <v>0</v>
      </c>
      <c r="E228" s="132">
        <f>SG_11_10</f>
        <v>0</v>
      </c>
    </row>
    <row r="229" spans="1:5" s="114" customFormat="1" hidden="1">
      <c r="A229" s="133" t="str">
        <f>Planilha!$B$941</f>
        <v>11.11</v>
      </c>
      <c r="B229" s="130" t="str">
        <f>Planilha!$C$941</f>
        <v>Sub-Grupo 11.11</v>
      </c>
      <c r="C229" s="131">
        <f t="shared" si="21"/>
        <v>0</v>
      </c>
      <c r="D229" s="131">
        <f t="shared" si="22"/>
        <v>0</v>
      </c>
      <c r="E229" s="132">
        <f>SG_11_11</f>
        <v>0</v>
      </c>
    </row>
    <row r="230" spans="1:5" s="114" customFormat="1" hidden="1">
      <c r="A230" s="133" t="str">
        <f>Planilha!$B$945</f>
        <v>11.12</v>
      </c>
      <c r="B230" s="130" t="str">
        <f>Planilha!$C$945</f>
        <v>Sub-Grupo 11.12</v>
      </c>
      <c r="C230" s="131">
        <f t="shared" si="21"/>
        <v>0</v>
      </c>
      <c r="D230" s="131">
        <f t="shared" si="22"/>
        <v>0</v>
      </c>
      <c r="E230" s="132">
        <f>SG_11_12</f>
        <v>0</v>
      </c>
    </row>
    <row r="231" spans="1:5" s="114" customFormat="1" hidden="1">
      <c r="A231" s="133" t="str">
        <f>Planilha!$B$949</f>
        <v>11.13</v>
      </c>
      <c r="B231" s="130" t="str">
        <f>Planilha!$C$949</f>
        <v>Sub-Grupo 11.13</v>
      </c>
      <c r="C231" s="131">
        <f t="shared" si="21"/>
        <v>0</v>
      </c>
      <c r="D231" s="131">
        <f t="shared" si="22"/>
        <v>0</v>
      </c>
      <c r="E231" s="132">
        <f>SG_11_13</f>
        <v>0</v>
      </c>
    </row>
    <row r="232" spans="1:5" s="114" customFormat="1" hidden="1">
      <c r="A232" s="133" t="str">
        <f>Planilha!$B$953</f>
        <v>11.14</v>
      </c>
      <c r="B232" s="130" t="str">
        <f>Planilha!$C$953</f>
        <v>Sub-Grupo 11.14</v>
      </c>
      <c r="C232" s="131">
        <f t="shared" si="21"/>
        <v>0</v>
      </c>
      <c r="D232" s="131">
        <f t="shared" si="22"/>
        <v>0</v>
      </c>
      <c r="E232" s="132">
        <f>SG_11_14</f>
        <v>0</v>
      </c>
    </row>
    <row r="233" spans="1:5" s="114" customFormat="1" hidden="1">
      <c r="A233" s="133" t="str">
        <f>Planilha!$B$957</f>
        <v>11.15</v>
      </c>
      <c r="B233" s="130" t="str">
        <f>Planilha!$C$957</f>
        <v>Sub-Grupo 11.15</v>
      </c>
      <c r="C233" s="131">
        <f t="shared" si="21"/>
        <v>0</v>
      </c>
      <c r="D233" s="131">
        <f t="shared" si="22"/>
        <v>0</v>
      </c>
      <c r="E233" s="132">
        <f>SG_11_15</f>
        <v>0</v>
      </c>
    </row>
    <row r="234" spans="1:5" s="114" customFormat="1" hidden="1">
      <c r="A234" s="133" t="str">
        <f>Planilha!$B$961</f>
        <v>11.16</v>
      </c>
      <c r="B234" s="130" t="str">
        <f>Planilha!$C$961</f>
        <v>Sub-Grupo 11.16</v>
      </c>
      <c r="C234" s="131">
        <f t="shared" si="21"/>
        <v>0</v>
      </c>
      <c r="D234" s="131">
        <f>IF(TOTAL_GERAL=0,0,ROUND(100*E234/TOTAL_GERAL,2))</f>
        <v>0</v>
      </c>
      <c r="E234" s="132">
        <f>SG_11_16</f>
        <v>0</v>
      </c>
    </row>
    <row r="235" spans="1:5" s="114" customFormat="1" hidden="1">
      <c r="A235" s="133" t="str">
        <f>Planilha!$B$965</f>
        <v>11.17</v>
      </c>
      <c r="B235" s="130" t="str">
        <f>Planilha!$C$965</f>
        <v>Sub-Grupo 11.17</v>
      </c>
      <c r="C235" s="131">
        <f t="shared" si="21"/>
        <v>0</v>
      </c>
      <c r="D235" s="131">
        <f>IF(TOTAL_GERAL=0,0,ROUND(100*E235/TOTAL_GERAL,2))</f>
        <v>0</v>
      </c>
      <c r="E235" s="132">
        <f>SG_11_17</f>
        <v>0</v>
      </c>
    </row>
    <row r="236" spans="1:5" s="114" customFormat="1" hidden="1">
      <c r="A236" s="133" t="str">
        <f>Planilha!$B$969</f>
        <v>11.18</v>
      </c>
      <c r="B236" s="130" t="str">
        <f>Planilha!$C$969</f>
        <v>Sub-Grupo 11.18</v>
      </c>
      <c r="C236" s="131">
        <f>IF(G_11=0,0,ROUND(100*E236/G_11,2))</f>
        <v>0</v>
      </c>
      <c r="D236" s="131">
        <f>IF(TOTAL_GERAL=0,0,ROUND(100*E236/TOTAL_GERAL,2))</f>
        <v>0</v>
      </c>
      <c r="E236" s="132">
        <f>SG_11_18</f>
        <v>0</v>
      </c>
    </row>
    <row r="237" spans="1:5" s="114" customFormat="1" hidden="1">
      <c r="A237" s="133" t="str">
        <f>Planilha!$B$973</f>
        <v>11.19</v>
      </c>
      <c r="B237" s="130" t="str">
        <f>Planilha!$C$973</f>
        <v>Sub-Grupo 11.19</v>
      </c>
      <c r="C237" s="131">
        <f>IF(G_11=0,0,ROUND(100*E237/G_11,2))</f>
        <v>0</v>
      </c>
      <c r="D237" s="131">
        <f>IF(TOTAL_GERAL=0,0,ROUND(100*E237/TOTAL_GERAL,2))</f>
        <v>0</v>
      </c>
      <c r="E237" s="132">
        <f>SG_11_19</f>
        <v>0</v>
      </c>
    </row>
    <row r="238" spans="1:5" s="114" customFormat="1" hidden="1">
      <c r="A238" s="133" t="str">
        <f>Planilha!$B$977</f>
        <v>11.20</v>
      </c>
      <c r="B238" s="130" t="str">
        <f>Planilha!$C$977</f>
        <v>Sub-Grupo 11.20</v>
      </c>
      <c r="C238" s="131">
        <f>IF(G_11=0,0,ROUND(100*E238/G_11,2))</f>
        <v>0</v>
      </c>
      <c r="D238" s="131">
        <f>IF(TOTAL_GERAL=0,0,ROUND(100*E238/TOTAL_GERAL,2))</f>
        <v>0</v>
      </c>
      <c r="E238" s="132">
        <f>SG_11_20</f>
        <v>0</v>
      </c>
    </row>
    <row r="239" spans="1:5" s="114" customFormat="1" hidden="1">
      <c r="A239" s="125" t="str">
        <f>Planilha!$B$982</f>
        <v>12</v>
      </c>
      <c r="B239" s="125" t="str">
        <f>Planilha!$C$982</f>
        <v>GRUPO 12</v>
      </c>
      <c r="C239" s="126"/>
      <c r="D239" s="127">
        <f>IF(TOTAL_GERAL=0,0,ROUND(100*G_12/TOTAL_GERAL,2))</f>
        <v>0</v>
      </c>
      <c r="E239" s="128">
        <f>G_12</f>
        <v>0</v>
      </c>
    </row>
    <row r="240" spans="1:5" s="114" customFormat="1" hidden="1">
      <c r="A240" s="133" t="str">
        <f>Planilha!$B$983</f>
        <v>12.01</v>
      </c>
      <c r="B240" s="130" t="str">
        <f>Planilha!$C$983</f>
        <v>Sub-Grupo 12.01</v>
      </c>
      <c r="C240" s="131">
        <f>IF(G_12=0,0,ROUND(100*E240/G_12,2))</f>
        <v>0</v>
      </c>
      <c r="D240" s="131">
        <f>IF(TOTAL_GERAL=0,0,ROUND(100*E240/TOTAL_GERAL,2))</f>
        <v>0</v>
      </c>
      <c r="E240" s="132">
        <f>SG_12_01</f>
        <v>0</v>
      </c>
    </row>
    <row r="241" spans="1:5" s="114" customFormat="1" hidden="1">
      <c r="A241" s="133" t="str">
        <f>Planilha!$B$987</f>
        <v>12.02</v>
      </c>
      <c r="B241" s="130" t="str">
        <f>Planilha!$C$987</f>
        <v>Sub-Grupo 12.02</v>
      </c>
      <c r="C241" s="131">
        <f t="shared" ref="C241:C256" si="23">IF(G_12=0,0,ROUND(100*E241/G_12,2))</f>
        <v>0</v>
      </c>
      <c r="D241" s="131">
        <f t="shared" ref="D241:D254" si="24">IF(TOTAL_GERAL=0,0,ROUND(100*E241/TOTAL_GERAL,2))</f>
        <v>0</v>
      </c>
      <c r="E241" s="132">
        <f>SG_12_02</f>
        <v>0</v>
      </c>
    </row>
    <row r="242" spans="1:5" s="114" customFormat="1" hidden="1">
      <c r="A242" s="133" t="str">
        <f>Planilha!$B$991</f>
        <v>12.03</v>
      </c>
      <c r="B242" s="130" t="str">
        <f>Planilha!$C$991</f>
        <v>Sub-Grupo 12.03</v>
      </c>
      <c r="C242" s="131">
        <f t="shared" si="23"/>
        <v>0</v>
      </c>
      <c r="D242" s="131">
        <f t="shared" si="24"/>
        <v>0</v>
      </c>
      <c r="E242" s="132">
        <f>SG_12_03</f>
        <v>0</v>
      </c>
    </row>
    <row r="243" spans="1:5" s="114" customFormat="1" hidden="1">
      <c r="A243" s="133" t="str">
        <f>Planilha!$B$995</f>
        <v>12.04</v>
      </c>
      <c r="B243" s="130" t="str">
        <f>Planilha!$C$995</f>
        <v>Sub-Grupo 12.04</v>
      </c>
      <c r="C243" s="131">
        <f t="shared" si="23"/>
        <v>0</v>
      </c>
      <c r="D243" s="131">
        <f t="shared" si="24"/>
        <v>0</v>
      </c>
      <c r="E243" s="132">
        <f>SG_12_04</f>
        <v>0</v>
      </c>
    </row>
    <row r="244" spans="1:5" s="114" customFormat="1" hidden="1">
      <c r="A244" s="133" t="str">
        <f>Planilha!$B$999</f>
        <v>12.05</v>
      </c>
      <c r="B244" s="130" t="str">
        <f>Planilha!$C$999</f>
        <v>Sub-Grupo 12.05</v>
      </c>
      <c r="C244" s="131">
        <f t="shared" si="23"/>
        <v>0</v>
      </c>
      <c r="D244" s="131">
        <f t="shared" si="24"/>
        <v>0</v>
      </c>
      <c r="E244" s="132">
        <f>SG_12_05</f>
        <v>0</v>
      </c>
    </row>
    <row r="245" spans="1:5" s="114" customFormat="1" hidden="1">
      <c r="A245" s="133" t="str">
        <f>Planilha!$B$1003</f>
        <v>12.06</v>
      </c>
      <c r="B245" s="130" t="str">
        <f>Planilha!$C$1003</f>
        <v>Sub-Grupo 12.06</v>
      </c>
      <c r="C245" s="131">
        <f t="shared" si="23"/>
        <v>0</v>
      </c>
      <c r="D245" s="131">
        <f t="shared" si="24"/>
        <v>0</v>
      </c>
      <c r="E245" s="132">
        <f>SG_12_06</f>
        <v>0</v>
      </c>
    </row>
    <row r="246" spans="1:5" s="114" customFormat="1" hidden="1">
      <c r="A246" s="133" t="str">
        <f>Planilha!$B$1007</f>
        <v>12.07</v>
      </c>
      <c r="B246" s="130" t="str">
        <f>Planilha!$C$1007</f>
        <v>Sub-Grupo 12.07</v>
      </c>
      <c r="C246" s="131">
        <f t="shared" si="23"/>
        <v>0</v>
      </c>
      <c r="D246" s="131">
        <f t="shared" si="24"/>
        <v>0</v>
      </c>
      <c r="E246" s="132">
        <f>SG_12_07</f>
        <v>0</v>
      </c>
    </row>
    <row r="247" spans="1:5" s="114" customFormat="1" hidden="1">
      <c r="A247" s="133" t="str">
        <f>Planilha!$B$1011</f>
        <v>12.08</v>
      </c>
      <c r="B247" s="130" t="str">
        <f>Planilha!$C$1011</f>
        <v>Sub-Grupo 12.08</v>
      </c>
      <c r="C247" s="131">
        <f t="shared" si="23"/>
        <v>0</v>
      </c>
      <c r="D247" s="131">
        <f t="shared" si="24"/>
        <v>0</v>
      </c>
      <c r="E247" s="132">
        <f>SG_12_08</f>
        <v>0</v>
      </c>
    </row>
    <row r="248" spans="1:5" s="114" customFormat="1" hidden="1">
      <c r="A248" s="133" t="str">
        <f>Planilha!$B$1015</f>
        <v>12.09</v>
      </c>
      <c r="B248" s="130" t="str">
        <f>Planilha!$C$1015</f>
        <v>Sub-Grupo 12.09</v>
      </c>
      <c r="C248" s="131">
        <f t="shared" si="23"/>
        <v>0</v>
      </c>
      <c r="D248" s="131">
        <f t="shared" si="24"/>
        <v>0</v>
      </c>
      <c r="E248" s="132">
        <f>SG_12_09</f>
        <v>0</v>
      </c>
    </row>
    <row r="249" spans="1:5" s="114" customFormat="1" hidden="1">
      <c r="A249" s="133" t="str">
        <f>Planilha!$B$1019</f>
        <v>12.10</v>
      </c>
      <c r="B249" s="130" t="str">
        <f>Planilha!$C$1019</f>
        <v>Sub-Grupo 12.10</v>
      </c>
      <c r="C249" s="131">
        <f t="shared" si="23"/>
        <v>0</v>
      </c>
      <c r="D249" s="131">
        <f t="shared" si="24"/>
        <v>0</v>
      </c>
      <c r="E249" s="132">
        <f>SG_12_10</f>
        <v>0</v>
      </c>
    </row>
    <row r="250" spans="1:5" s="114" customFormat="1" hidden="1">
      <c r="A250" s="133" t="str">
        <f>Planilha!$B$1023</f>
        <v>12.11</v>
      </c>
      <c r="B250" s="130" t="str">
        <f>Planilha!$C$1023</f>
        <v>Sub-Grupo 12.11</v>
      </c>
      <c r="C250" s="131">
        <f t="shared" si="23"/>
        <v>0</v>
      </c>
      <c r="D250" s="131">
        <f t="shared" si="24"/>
        <v>0</v>
      </c>
      <c r="E250" s="132">
        <f>SG_12_11</f>
        <v>0</v>
      </c>
    </row>
    <row r="251" spans="1:5" s="114" customFormat="1" hidden="1">
      <c r="A251" s="133" t="str">
        <f>Planilha!$B$1027</f>
        <v>12.12</v>
      </c>
      <c r="B251" s="130" t="str">
        <f>Planilha!$C$1027</f>
        <v>Sub-Grupo 12.12</v>
      </c>
      <c r="C251" s="131">
        <f t="shared" si="23"/>
        <v>0</v>
      </c>
      <c r="D251" s="131">
        <f t="shared" si="24"/>
        <v>0</v>
      </c>
      <c r="E251" s="132">
        <f>SG_12_12</f>
        <v>0</v>
      </c>
    </row>
    <row r="252" spans="1:5" s="114" customFormat="1" hidden="1">
      <c r="A252" s="133" t="str">
        <f>Planilha!$B$1031</f>
        <v>12.13</v>
      </c>
      <c r="B252" s="130" t="str">
        <f>Planilha!$C$1031</f>
        <v>Sub-Grupo 12.13</v>
      </c>
      <c r="C252" s="131">
        <f t="shared" si="23"/>
        <v>0</v>
      </c>
      <c r="D252" s="131">
        <f t="shared" si="24"/>
        <v>0</v>
      </c>
      <c r="E252" s="132">
        <f>SG_12_13</f>
        <v>0</v>
      </c>
    </row>
    <row r="253" spans="1:5" s="114" customFormat="1" hidden="1">
      <c r="A253" s="133" t="str">
        <f>Planilha!$B$1035</f>
        <v>12.14</v>
      </c>
      <c r="B253" s="130" t="str">
        <f>Planilha!$C$1035</f>
        <v>Sub-Grupo 12.14</v>
      </c>
      <c r="C253" s="131">
        <f t="shared" si="23"/>
        <v>0</v>
      </c>
      <c r="D253" s="131">
        <f t="shared" si="24"/>
        <v>0</v>
      </c>
      <c r="E253" s="132">
        <f>SG_12_14</f>
        <v>0</v>
      </c>
    </row>
    <row r="254" spans="1:5" s="114" customFormat="1" hidden="1">
      <c r="A254" s="133" t="str">
        <f>Planilha!$B$1039</f>
        <v>12.15</v>
      </c>
      <c r="B254" s="130" t="str">
        <f>Planilha!$C$1039</f>
        <v>Sub-Grupo 12.15</v>
      </c>
      <c r="C254" s="131">
        <f t="shared" si="23"/>
        <v>0</v>
      </c>
      <c r="D254" s="131">
        <f t="shared" si="24"/>
        <v>0</v>
      </c>
      <c r="E254" s="132">
        <f>SG_12_15</f>
        <v>0</v>
      </c>
    </row>
    <row r="255" spans="1:5" s="114" customFormat="1" hidden="1">
      <c r="A255" s="133" t="str">
        <f>Planilha!$B$1043</f>
        <v>12.16</v>
      </c>
      <c r="B255" s="130" t="str">
        <f>Planilha!$C$1043</f>
        <v>Sub-Grupo 12.16</v>
      </c>
      <c r="C255" s="131">
        <f t="shared" si="23"/>
        <v>0</v>
      </c>
      <c r="D255" s="131">
        <f>IF(TOTAL_GERAL=0,0,ROUND(100*E255/TOTAL_GERAL,2))</f>
        <v>0</v>
      </c>
      <c r="E255" s="132">
        <f>SG_12_16</f>
        <v>0</v>
      </c>
    </row>
    <row r="256" spans="1:5" s="114" customFormat="1" hidden="1">
      <c r="A256" s="133" t="str">
        <f>Planilha!$B$1047</f>
        <v>12.17</v>
      </c>
      <c r="B256" s="130" t="str">
        <f>Planilha!$C$1047</f>
        <v>Sub-Grupo 12.17</v>
      </c>
      <c r="C256" s="131">
        <f t="shared" si="23"/>
        <v>0</v>
      </c>
      <c r="D256" s="131">
        <f>IF(TOTAL_GERAL=0,0,ROUND(100*E256/TOTAL_GERAL,2))</f>
        <v>0</v>
      </c>
      <c r="E256" s="132">
        <f>SG_12_17</f>
        <v>0</v>
      </c>
    </row>
    <row r="257" spans="1:5" s="114" customFormat="1" hidden="1">
      <c r="A257" s="133" t="str">
        <f>Planilha!$B$1051</f>
        <v>12.18</v>
      </c>
      <c r="B257" s="130" t="str">
        <f>Planilha!$C$1051</f>
        <v>Sub-Grupo 12.18</v>
      </c>
      <c r="C257" s="131">
        <f>IF(G_12=0,0,ROUND(100*E257/G_12,2))</f>
        <v>0</v>
      </c>
      <c r="D257" s="131">
        <f>IF(TOTAL_GERAL=0,0,ROUND(100*E257/TOTAL_GERAL,2))</f>
        <v>0</v>
      </c>
      <c r="E257" s="132">
        <f>SG_12_18</f>
        <v>0</v>
      </c>
    </row>
    <row r="258" spans="1:5" s="114" customFormat="1" hidden="1">
      <c r="A258" s="133" t="str">
        <f>Planilha!$B$1055</f>
        <v>12.19</v>
      </c>
      <c r="B258" s="130" t="str">
        <f>Planilha!$C$1055</f>
        <v>Sub-Grupo 12.19</v>
      </c>
      <c r="C258" s="131">
        <f>IF(G_12=0,0,ROUND(100*E258/G_12,2))</f>
        <v>0</v>
      </c>
      <c r="D258" s="131">
        <f>IF(TOTAL_GERAL=0,0,ROUND(100*E258/TOTAL_GERAL,2))</f>
        <v>0</v>
      </c>
      <c r="E258" s="132">
        <f>SG_12_19</f>
        <v>0</v>
      </c>
    </row>
    <row r="259" spans="1:5" s="114" customFormat="1" hidden="1">
      <c r="A259" s="133" t="str">
        <f>Planilha!$B$1059</f>
        <v>12.20</v>
      </c>
      <c r="B259" s="130" t="str">
        <f>Planilha!$C$1059</f>
        <v>Sub-Grupo 12.20</v>
      </c>
      <c r="C259" s="131">
        <f>IF(G_12=0,0,ROUND(100*E259/G_12,2))</f>
        <v>0</v>
      </c>
      <c r="D259" s="131">
        <f>IF(TOTAL_GERAL=0,0,ROUND(100*E259/TOTAL_GERAL,2))</f>
        <v>0</v>
      </c>
      <c r="E259" s="132">
        <f>SG_12_20</f>
        <v>0</v>
      </c>
    </row>
    <row r="260" spans="1:5" s="114" customFormat="1" hidden="1">
      <c r="A260" s="125" t="str">
        <f>Planilha!$B$1064</f>
        <v>13</v>
      </c>
      <c r="B260" s="125" t="str">
        <f>Planilha!$C$1064</f>
        <v>GRUPO 13</v>
      </c>
      <c r="C260" s="126"/>
      <c r="D260" s="127">
        <f>IF(TOTAL_GERAL=0,0,ROUND(100*G_13/TOTAL_GERAL,2))</f>
        <v>0</v>
      </c>
      <c r="E260" s="128">
        <f>G_13</f>
        <v>0</v>
      </c>
    </row>
    <row r="261" spans="1:5" s="114" customFormat="1" hidden="1">
      <c r="A261" s="133" t="str">
        <f>Planilha!$B$1065</f>
        <v>13.01</v>
      </c>
      <c r="B261" s="130" t="str">
        <f>Planilha!$C$1065</f>
        <v>Sub-Grupo 13.01</v>
      </c>
      <c r="C261" s="131">
        <f>IF(G_13=0,0,ROUND(100*E261/G_13,2))</f>
        <v>0</v>
      </c>
      <c r="D261" s="131">
        <f>IF(TOTAL_GERAL=0,0,ROUND(100*E261/TOTAL_GERAL,2))</f>
        <v>0</v>
      </c>
      <c r="E261" s="132">
        <f>SG_13_01</f>
        <v>0</v>
      </c>
    </row>
    <row r="262" spans="1:5" s="114" customFormat="1" hidden="1">
      <c r="A262" s="133" t="str">
        <f>Planilha!$B$1069</f>
        <v>13.02</v>
      </c>
      <c r="B262" s="130" t="str">
        <f>Planilha!$C$1069</f>
        <v>Sub-Grupo 13.02</v>
      </c>
      <c r="C262" s="131">
        <f t="shared" ref="C262:C277" si="25">IF(G_13=0,0,ROUND(100*E262/G_13,2))</f>
        <v>0</v>
      </c>
      <c r="D262" s="131">
        <f t="shared" ref="D262:D275" si="26">IF(TOTAL_GERAL=0,0,ROUND(100*E262/TOTAL_GERAL,2))</f>
        <v>0</v>
      </c>
      <c r="E262" s="132">
        <f>SG_13_02</f>
        <v>0</v>
      </c>
    </row>
    <row r="263" spans="1:5" s="114" customFormat="1" hidden="1">
      <c r="A263" s="133" t="str">
        <f>Planilha!$B$1073</f>
        <v>13.03</v>
      </c>
      <c r="B263" s="130" t="str">
        <f>Planilha!$C$1073</f>
        <v>Sub-Grupo 13.03</v>
      </c>
      <c r="C263" s="131">
        <f t="shared" si="25"/>
        <v>0</v>
      </c>
      <c r="D263" s="131">
        <f t="shared" si="26"/>
        <v>0</v>
      </c>
      <c r="E263" s="132">
        <f>SG_13_03</f>
        <v>0</v>
      </c>
    </row>
    <row r="264" spans="1:5" s="114" customFormat="1" hidden="1">
      <c r="A264" s="133" t="str">
        <f>Planilha!$B$1077</f>
        <v>13.04</v>
      </c>
      <c r="B264" s="130" t="str">
        <f>Planilha!$C$1077</f>
        <v>Sub-Grupo 13.04</v>
      </c>
      <c r="C264" s="131">
        <f t="shared" si="25"/>
        <v>0</v>
      </c>
      <c r="D264" s="131">
        <f t="shared" si="26"/>
        <v>0</v>
      </c>
      <c r="E264" s="132">
        <f>SG_13_04</f>
        <v>0</v>
      </c>
    </row>
    <row r="265" spans="1:5" s="114" customFormat="1" hidden="1">
      <c r="A265" s="133" t="str">
        <f>Planilha!$B$1081</f>
        <v>13.05</v>
      </c>
      <c r="B265" s="130" t="str">
        <f>Planilha!$C$1081</f>
        <v>Sub-Grupo 13.05</v>
      </c>
      <c r="C265" s="131">
        <f t="shared" si="25"/>
        <v>0</v>
      </c>
      <c r="D265" s="131">
        <f t="shared" si="26"/>
        <v>0</v>
      </c>
      <c r="E265" s="132">
        <f>SG_13_05</f>
        <v>0</v>
      </c>
    </row>
    <row r="266" spans="1:5" s="114" customFormat="1" hidden="1">
      <c r="A266" s="133" t="str">
        <f>Planilha!$B$1085</f>
        <v>13.06</v>
      </c>
      <c r="B266" s="130" t="str">
        <f>Planilha!$C$1085</f>
        <v>Sub-Grupo 13.06</v>
      </c>
      <c r="C266" s="131">
        <f t="shared" si="25"/>
        <v>0</v>
      </c>
      <c r="D266" s="131">
        <f t="shared" si="26"/>
        <v>0</v>
      </c>
      <c r="E266" s="132">
        <f>SG_13_06</f>
        <v>0</v>
      </c>
    </row>
    <row r="267" spans="1:5" s="114" customFormat="1" hidden="1">
      <c r="A267" s="133" t="str">
        <f>Planilha!$B$1089</f>
        <v>13.07</v>
      </c>
      <c r="B267" s="130" t="str">
        <f>Planilha!$C$1089</f>
        <v>Sub-Grupo 13.07</v>
      </c>
      <c r="C267" s="131">
        <f t="shared" si="25"/>
        <v>0</v>
      </c>
      <c r="D267" s="131">
        <f t="shared" si="26"/>
        <v>0</v>
      </c>
      <c r="E267" s="132">
        <f>SG_13_07</f>
        <v>0</v>
      </c>
    </row>
    <row r="268" spans="1:5" s="114" customFormat="1" hidden="1">
      <c r="A268" s="133" t="str">
        <f>Planilha!$B$1093</f>
        <v>13.08</v>
      </c>
      <c r="B268" s="130" t="str">
        <f>Planilha!$C$1093</f>
        <v>Sub-Grupo 13.08</v>
      </c>
      <c r="C268" s="131">
        <f t="shared" si="25"/>
        <v>0</v>
      </c>
      <c r="D268" s="131">
        <f t="shared" si="26"/>
        <v>0</v>
      </c>
      <c r="E268" s="132">
        <f>SG_13_08</f>
        <v>0</v>
      </c>
    </row>
    <row r="269" spans="1:5" s="114" customFormat="1" hidden="1">
      <c r="A269" s="133" t="str">
        <f>Planilha!$B$1097</f>
        <v>13.09</v>
      </c>
      <c r="B269" s="130" t="str">
        <f>Planilha!$C$1097</f>
        <v>Sub-Grupo 13.09</v>
      </c>
      <c r="C269" s="131">
        <f t="shared" si="25"/>
        <v>0</v>
      </c>
      <c r="D269" s="131">
        <f t="shared" si="26"/>
        <v>0</v>
      </c>
      <c r="E269" s="132">
        <f>SG_13_09</f>
        <v>0</v>
      </c>
    </row>
    <row r="270" spans="1:5" s="114" customFormat="1" hidden="1">
      <c r="A270" s="133" t="str">
        <f>Planilha!$B$1101</f>
        <v>13.10</v>
      </c>
      <c r="B270" s="130" t="str">
        <f>Planilha!$C$1101</f>
        <v>Sub-Grupo 13.10</v>
      </c>
      <c r="C270" s="131">
        <f t="shared" si="25"/>
        <v>0</v>
      </c>
      <c r="D270" s="131">
        <f t="shared" si="26"/>
        <v>0</v>
      </c>
      <c r="E270" s="132">
        <f>SG_13_10</f>
        <v>0</v>
      </c>
    </row>
    <row r="271" spans="1:5" s="114" customFormat="1" hidden="1">
      <c r="A271" s="133" t="str">
        <f>Planilha!$B$1105</f>
        <v>13.11</v>
      </c>
      <c r="B271" s="130" t="str">
        <f>Planilha!$C$1105</f>
        <v>Sub-Grupo 13.11</v>
      </c>
      <c r="C271" s="131">
        <f t="shared" si="25"/>
        <v>0</v>
      </c>
      <c r="D271" s="131">
        <f t="shared" si="26"/>
        <v>0</v>
      </c>
      <c r="E271" s="132">
        <f>SG_13_11</f>
        <v>0</v>
      </c>
    </row>
    <row r="272" spans="1:5" s="114" customFormat="1" hidden="1">
      <c r="A272" s="133" t="str">
        <f>Planilha!$B$1109</f>
        <v>13.12</v>
      </c>
      <c r="B272" s="130" t="str">
        <f>Planilha!$C$1109</f>
        <v>Sub-Grupo 13.12</v>
      </c>
      <c r="C272" s="131">
        <f t="shared" si="25"/>
        <v>0</v>
      </c>
      <c r="D272" s="131">
        <f t="shared" si="26"/>
        <v>0</v>
      </c>
      <c r="E272" s="132">
        <f>SG_13_12</f>
        <v>0</v>
      </c>
    </row>
    <row r="273" spans="1:5" s="114" customFormat="1" hidden="1">
      <c r="A273" s="133" t="str">
        <f>Planilha!$B$1113</f>
        <v>13.13</v>
      </c>
      <c r="B273" s="130" t="str">
        <f>Planilha!$C$1113</f>
        <v>Sub-Grupo 13.13</v>
      </c>
      <c r="C273" s="131">
        <f t="shared" si="25"/>
        <v>0</v>
      </c>
      <c r="D273" s="131">
        <f t="shared" si="26"/>
        <v>0</v>
      </c>
      <c r="E273" s="132">
        <f>SG_13_13</f>
        <v>0</v>
      </c>
    </row>
    <row r="274" spans="1:5" s="114" customFormat="1" hidden="1">
      <c r="A274" s="133" t="str">
        <f>Planilha!$B$1117</f>
        <v>13.14</v>
      </c>
      <c r="B274" s="130" t="str">
        <f>Planilha!$C$1117</f>
        <v>Sub-Grupo 13.14</v>
      </c>
      <c r="C274" s="131">
        <f t="shared" si="25"/>
        <v>0</v>
      </c>
      <c r="D274" s="131">
        <f t="shared" si="26"/>
        <v>0</v>
      </c>
      <c r="E274" s="132">
        <f>SG_13_14</f>
        <v>0</v>
      </c>
    </row>
    <row r="275" spans="1:5" s="114" customFormat="1" hidden="1">
      <c r="A275" s="133" t="str">
        <f>Planilha!$B$1121</f>
        <v>13.15</v>
      </c>
      <c r="B275" s="130" t="str">
        <f>Planilha!$C$1121</f>
        <v>Sub-Grupo 13.15</v>
      </c>
      <c r="C275" s="131">
        <f t="shared" si="25"/>
        <v>0</v>
      </c>
      <c r="D275" s="131">
        <f t="shared" si="26"/>
        <v>0</v>
      </c>
      <c r="E275" s="132">
        <f>SG_13_15</f>
        <v>0</v>
      </c>
    </row>
    <row r="276" spans="1:5" s="114" customFormat="1" hidden="1">
      <c r="A276" s="133" t="str">
        <f>Planilha!$B$1125</f>
        <v>13.16</v>
      </c>
      <c r="B276" s="130" t="str">
        <f>Planilha!$C$1125</f>
        <v>Sub-Grupo 13.16</v>
      </c>
      <c r="C276" s="131">
        <f t="shared" si="25"/>
        <v>0</v>
      </c>
      <c r="D276" s="131">
        <f>IF(TOTAL_GERAL=0,0,ROUND(100*E276/TOTAL_GERAL,2))</f>
        <v>0</v>
      </c>
      <c r="E276" s="132">
        <f>SG_13_16</f>
        <v>0</v>
      </c>
    </row>
    <row r="277" spans="1:5" s="114" customFormat="1" hidden="1">
      <c r="A277" s="133" t="str">
        <f>Planilha!$B$1129</f>
        <v>13.17</v>
      </c>
      <c r="B277" s="130" t="str">
        <f>Planilha!$C$1129</f>
        <v>Sub-Grupo 13.17</v>
      </c>
      <c r="C277" s="131">
        <f t="shared" si="25"/>
        <v>0</v>
      </c>
      <c r="D277" s="131">
        <f>IF(TOTAL_GERAL=0,0,ROUND(100*E277/TOTAL_GERAL,2))</f>
        <v>0</v>
      </c>
      <c r="E277" s="132">
        <f>SG_13_17</f>
        <v>0</v>
      </c>
    </row>
    <row r="278" spans="1:5" s="114" customFormat="1" hidden="1">
      <c r="A278" s="133" t="str">
        <f>Planilha!$B$1133</f>
        <v>13.18</v>
      </c>
      <c r="B278" s="130" t="str">
        <f>Planilha!$C$1133</f>
        <v>Sub-Grupo 13.18</v>
      </c>
      <c r="C278" s="131">
        <f>IF(G_13=0,0,ROUND(100*E278/G_13,2))</f>
        <v>0</v>
      </c>
      <c r="D278" s="131">
        <f>IF(TOTAL_GERAL=0,0,ROUND(100*E278/TOTAL_GERAL,2))</f>
        <v>0</v>
      </c>
      <c r="E278" s="132">
        <f>SG_13_18</f>
        <v>0</v>
      </c>
    </row>
    <row r="279" spans="1:5" s="114" customFormat="1" hidden="1">
      <c r="A279" s="133" t="str">
        <f>Planilha!$B$1137</f>
        <v>13.19</v>
      </c>
      <c r="B279" s="130" t="str">
        <f>Planilha!$C$1137</f>
        <v>Sub-Grupo 13.19</v>
      </c>
      <c r="C279" s="131">
        <f>IF(G_13=0,0,ROUND(100*E279/G_13,2))</f>
        <v>0</v>
      </c>
      <c r="D279" s="131">
        <f>IF(TOTAL_GERAL=0,0,ROUND(100*E279/TOTAL_GERAL,2))</f>
        <v>0</v>
      </c>
      <c r="E279" s="132">
        <f>SG_13_19</f>
        <v>0</v>
      </c>
    </row>
    <row r="280" spans="1:5" s="114" customFormat="1" hidden="1">
      <c r="A280" s="133" t="str">
        <f>Planilha!$B$1141</f>
        <v>13.20</v>
      </c>
      <c r="B280" s="130" t="str">
        <f>Planilha!$C$1141</f>
        <v>Sub-Grupo 13.20</v>
      </c>
      <c r="C280" s="131">
        <f>IF(G_13=0,0,ROUND(100*E280/G_13,2))</f>
        <v>0</v>
      </c>
      <c r="D280" s="131">
        <f>IF(TOTAL_GERAL=0,0,ROUND(100*E280/TOTAL_GERAL,2))</f>
        <v>0</v>
      </c>
      <c r="E280" s="132">
        <f>SG_13_20</f>
        <v>0</v>
      </c>
    </row>
    <row r="281" spans="1:5" s="114" customFormat="1" hidden="1">
      <c r="A281" s="125" t="str">
        <f>Planilha!$B$1146</f>
        <v>14</v>
      </c>
      <c r="B281" s="125" t="str">
        <f>Planilha!$C$1146</f>
        <v>GRUPO 14</v>
      </c>
      <c r="C281" s="126"/>
      <c r="D281" s="127">
        <f>IF(TOTAL_GERAL=0,0,ROUND(100*G_14/TOTAL_GERAL,2))</f>
        <v>0</v>
      </c>
      <c r="E281" s="128">
        <f>G_14</f>
        <v>0</v>
      </c>
    </row>
    <row r="282" spans="1:5" s="114" customFormat="1" hidden="1">
      <c r="A282" s="133" t="str">
        <f>Planilha!$B$1147</f>
        <v>14.01</v>
      </c>
      <c r="B282" s="130" t="str">
        <f>Planilha!$C$1147</f>
        <v>Sub-Grupo 14.01</v>
      </c>
      <c r="C282" s="131">
        <f>IF(G_14=0,0,ROUND(100*E282/G_14,2))</f>
        <v>0</v>
      </c>
      <c r="D282" s="131">
        <f>IF(TOTAL_GERAL=0,0,ROUND(100*E282/TOTAL_GERAL,2))</f>
        <v>0</v>
      </c>
      <c r="E282" s="132">
        <f>SG_14_01</f>
        <v>0</v>
      </c>
    </row>
    <row r="283" spans="1:5" s="114" customFormat="1" hidden="1">
      <c r="A283" s="133" t="str">
        <f>Planilha!$B$1151</f>
        <v>14.02</v>
      </c>
      <c r="B283" s="130" t="str">
        <f>Planilha!$C$1151</f>
        <v>Sub-Grupo 14.02</v>
      </c>
      <c r="C283" s="131">
        <f t="shared" ref="C283:C298" si="27">IF(G_14=0,0,ROUND(100*E283/G_14,2))</f>
        <v>0</v>
      </c>
      <c r="D283" s="131">
        <f t="shared" ref="D283:D296" si="28">IF(TOTAL_GERAL=0,0,ROUND(100*E283/TOTAL_GERAL,2))</f>
        <v>0</v>
      </c>
      <c r="E283" s="132">
        <f>SG_14_02</f>
        <v>0</v>
      </c>
    </row>
    <row r="284" spans="1:5" s="114" customFormat="1" hidden="1">
      <c r="A284" s="133" t="str">
        <f>Planilha!$B$1155</f>
        <v>14.03</v>
      </c>
      <c r="B284" s="130" t="str">
        <f>Planilha!$C$1155</f>
        <v>Sub-Grupo 14.03</v>
      </c>
      <c r="C284" s="131">
        <f t="shared" si="27"/>
        <v>0</v>
      </c>
      <c r="D284" s="131">
        <f t="shared" si="28"/>
        <v>0</v>
      </c>
      <c r="E284" s="132">
        <f>SG_14_03</f>
        <v>0</v>
      </c>
    </row>
    <row r="285" spans="1:5" s="114" customFormat="1" hidden="1">
      <c r="A285" s="133" t="str">
        <f>Planilha!$B$1159</f>
        <v>14.04</v>
      </c>
      <c r="B285" s="130" t="str">
        <f>Planilha!$C$1159</f>
        <v>Sub-Grupo 14.04</v>
      </c>
      <c r="C285" s="131">
        <f t="shared" si="27"/>
        <v>0</v>
      </c>
      <c r="D285" s="131">
        <f t="shared" si="28"/>
        <v>0</v>
      </c>
      <c r="E285" s="132">
        <f>SG_14_04</f>
        <v>0</v>
      </c>
    </row>
    <row r="286" spans="1:5" s="114" customFormat="1" hidden="1">
      <c r="A286" s="133" t="str">
        <f>Planilha!$B$1163</f>
        <v>14.05</v>
      </c>
      <c r="B286" s="130" t="str">
        <f>Planilha!$C$1163</f>
        <v>Sub-Grupo 14.05</v>
      </c>
      <c r="C286" s="131">
        <f t="shared" si="27"/>
        <v>0</v>
      </c>
      <c r="D286" s="131">
        <f t="shared" si="28"/>
        <v>0</v>
      </c>
      <c r="E286" s="132">
        <f>SG_14_05</f>
        <v>0</v>
      </c>
    </row>
    <row r="287" spans="1:5" s="114" customFormat="1" hidden="1">
      <c r="A287" s="133" t="str">
        <f>Planilha!$B$1167</f>
        <v>14.06</v>
      </c>
      <c r="B287" s="130" t="str">
        <f>Planilha!$C$1167</f>
        <v>Sub-Grupo 14.06</v>
      </c>
      <c r="C287" s="131">
        <f t="shared" si="27"/>
        <v>0</v>
      </c>
      <c r="D287" s="131">
        <f t="shared" si="28"/>
        <v>0</v>
      </c>
      <c r="E287" s="132">
        <f>SG_14_06</f>
        <v>0</v>
      </c>
    </row>
    <row r="288" spans="1:5" s="114" customFormat="1" hidden="1">
      <c r="A288" s="133" t="str">
        <f>Planilha!$B$1171</f>
        <v>14.07</v>
      </c>
      <c r="B288" s="130" t="str">
        <f>Planilha!$C$1171</f>
        <v>Sub-Grupo 14.07</v>
      </c>
      <c r="C288" s="131">
        <f t="shared" si="27"/>
        <v>0</v>
      </c>
      <c r="D288" s="131">
        <f t="shared" si="28"/>
        <v>0</v>
      </c>
      <c r="E288" s="132">
        <f>SG_14_07</f>
        <v>0</v>
      </c>
    </row>
    <row r="289" spans="1:5" s="114" customFormat="1" hidden="1">
      <c r="A289" s="133" t="str">
        <f>Planilha!$B$1175</f>
        <v>14.08</v>
      </c>
      <c r="B289" s="130" t="str">
        <f>Planilha!$C$1175</f>
        <v>Sub-Grupo 14.08</v>
      </c>
      <c r="C289" s="131">
        <f t="shared" si="27"/>
        <v>0</v>
      </c>
      <c r="D289" s="131">
        <f t="shared" si="28"/>
        <v>0</v>
      </c>
      <c r="E289" s="132">
        <f>SG_14_08</f>
        <v>0</v>
      </c>
    </row>
    <row r="290" spans="1:5" s="114" customFormat="1" hidden="1">
      <c r="A290" s="133" t="str">
        <f>Planilha!$B$1179</f>
        <v>14.09</v>
      </c>
      <c r="B290" s="130" t="str">
        <f>Planilha!$C$1179</f>
        <v>Sub-Grupo 14.09</v>
      </c>
      <c r="C290" s="131">
        <f t="shared" si="27"/>
        <v>0</v>
      </c>
      <c r="D290" s="131">
        <f t="shared" si="28"/>
        <v>0</v>
      </c>
      <c r="E290" s="132">
        <f>SG_14_09</f>
        <v>0</v>
      </c>
    </row>
    <row r="291" spans="1:5" s="114" customFormat="1" hidden="1">
      <c r="A291" s="133" t="str">
        <f>Planilha!$B$1183</f>
        <v>14.10</v>
      </c>
      <c r="B291" s="130" t="str">
        <f>Planilha!$C$1183</f>
        <v>Sub-Grupo 14.10</v>
      </c>
      <c r="C291" s="131">
        <f t="shared" si="27"/>
        <v>0</v>
      </c>
      <c r="D291" s="131">
        <f t="shared" si="28"/>
        <v>0</v>
      </c>
      <c r="E291" s="132">
        <f>SG_14_10</f>
        <v>0</v>
      </c>
    </row>
    <row r="292" spans="1:5" s="114" customFormat="1" hidden="1">
      <c r="A292" s="133" t="str">
        <f>Planilha!$B$1187</f>
        <v>14.11</v>
      </c>
      <c r="B292" s="130" t="str">
        <f>Planilha!$C$1187</f>
        <v>Sub-Grupo 14.11</v>
      </c>
      <c r="C292" s="131">
        <f t="shared" si="27"/>
        <v>0</v>
      </c>
      <c r="D292" s="131">
        <f t="shared" si="28"/>
        <v>0</v>
      </c>
      <c r="E292" s="132">
        <f>SG_14_11</f>
        <v>0</v>
      </c>
    </row>
    <row r="293" spans="1:5" s="114" customFormat="1" hidden="1">
      <c r="A293" s="133" t="str">
        <f>Planilha!$B$1191</f>
        <v>14.12</v>
      </c>
      <c r="B293" s="130" t="str">
        <f>Planilha!$C$1191</f>
        <v>Sub-Grupo 14.12</v>
      </c>
      <c r="C293" s="131">
        <f t="shared" si="27"/>
        <v>0</v>
      </c>
      <c r="D293" s="131">
        <f t="shared" si="28"/>
        <v>0</v>
      </c>
      <c r="E293" s="132">
        <f>SG_14_12</f>
        <v>0</v>
      </c>
    </row>
    <row r="294" spans="1:5" s="114" customFormat="1" hidden="1">
      <c r="A294" s="133" t="str">
        <f>Planilha!$B$1195</f>
        <v>14.13</v>
      </c>
      <c r="B294" s="130" t="str">
        <f>Planilha!$C$1195</f>
        <v>Sub-Grupo 14.13</v>
      </c>
      <c r="C294" s="131">
        <f t="shared" si="27"/>
        <v>0</v>
      </c>
      <c r="D294" s="131">
        <f t="shared" si="28"/>
        <v>0</v>
      </c>
      <c r="E294" s="132">
        <f>SG_14_13</f>
        <v>0</v>
      </c>
    </row>
    <row r="295" spans="1:5" s="114" customFormat="1" hidden="1">
      <c r="A295" s="133" t="str">
        <f>Planilha!$B$1199</f>
        <v>14.14</v>
      </c>
      <c r="B295" s="130" t="str">
        <f>Planilha!$C$1199</f>
        <v>Sub-Grupo 14.14</v>
      </c>
      <c r="C295" s="131">
        <f t="shared" si="27"/>
        <v>0</v>
      </c>
      <c r="D295" s="131">
        <f t="shared" si="28"/>
        <v>0</v>
      </c>
      <c r="E295" s="132">
        <f>SG_14_14</f>
        <v>0</v>
      </c>
    </row>
    <row r="296" spans="1:5" s="114" customFormat="1" hidden="1">
      <c r="A296" s="133" t="str">
        <f>Planilha!$B$1203</f>
        <v>14.15</v>
      </c>
      <c r="B296" s="130" t="str">
        <f>Planilha!$C$1203</f>
        <v>Sub-Grupo 14.15</v>
      </c>
      <c r="C296" s="131">
        <f t="shared" si="27"/>
        <v>0</v>
      </c>
      <c r="D296" s="131">
        <f t="shared" si="28"/>
        <v>0</v>
      </c>
      <c r="E296" s="132">
        <f>SG_14_15</f>
        <v>0</v>
      </c>
    </row>
    <row r="297" spans="1:5" s="114" customFormat="1" hidden="1">
      <c r="A297" s="133" t="str">
        <f>Planilha!$B$1207</f>
        <v>14.16</v>
      </c>
      <c r="B297" s="130" t="str">
        <f>Planilha!$C$1207</f>
        <v>Sub-Grupo 14.16</v>
      </c>
      <c r="C297" s="131">
        <f t="shared" si="27"/>
        <v>0</v>
      </c>
      <c r="D297" s="131">
        <f>IF(TOTAL_GERAL=0,0,ROUND(100*E297/TOTAL_GERAL,2))</f>
        <v>0</v>
      </c>
      <c r="E297" s="132">
        <f>SG_14_16</f>
        <v>0</v>
      </c>
    </row>
    <row r="298" spans="1:5" s="114" customFormat="1" hidden="1">
      <c r="A298" s="133" t="str">
        <f>Planilha!$B$1211</f>
        <v>14.17</v>
      </c>
      <c r="B298" s="130" t="str">
        <f>Planilha!$C$1211</f>
        <v>Sub-Grupo 14.17</v>
      </c>
      <c r="C298" s="131">
        <f t="shared" si="27"/>
        <v>0</v>
      </c>
      <c r="D298" s="131">
        <f>IF(TOTAL_GERAL=0,0,ROUND(100*E298/TOTAL_GERAL,2))</f>
        <v>0</v>
      </c>
      <c r="E298" s="132">
        <f>SG_14_17</f>
        <v>0</v>
      </c>
    </row>
    <row r="299" spans="1:5" s="114" customFormat="1" hidden="1">
      <c r="A299" s="133" t="str">
        <f>Planilha!$B$1215</f>
        <v>14.18</v>
      </c>
      <c r="B299" s="130" t="str">
        <f>Planilha!$C$1215</f>
        <v>Sub-Grupo 14.18</v>
      </c>
      <c r="C299" s="131">
        <f>IF(G_14=0,0,ROUND(100*E299/G_14,2))</f>
        <v>0</v>
      </c>
      <c r="D299" s="131">
        <f>IF(TOTAL_GERAL=0,0,ROUND(100*E299/TOTAL_GERAL,2))</f>
        <v>0</v>
      </c>
      <c r="E299" s="132">
        <f>SG_14_18</f>
        <v>0</v>
      </c>
    </row>
    <row r="300" spans="1:5" s="114" customFormat="1" hidden="1">
      <c r="A300" s="133" t="str">
        <f>Planilha!$B$1219</f>
        <v>14.19</v>
      </c>
      <c r="B300" s="130" t="str">
        <f>Planilha!$C$1219</f>
        <v>Sub-Grupo 14.19</v>
      </c>
      <c r="C300" s="131">
        <f>IF(G_14=0,0,ROUND(100*E300/G_14,2))</f>
        <v>0</v>
      </c>
      <c r="D300" s="131">
        <f>IF(TOTAL_GERAL=0,0,ROUND(100*E300/TOTAL_GERAL,2))</f>
        <v>0</v>
      </c>
      <c r="E300" s="132">
        <f>SG_14_19</f>
        <v>0</v>
      </c>
    </row>
    <row r="301" spans="1:5" s="114" customFormat="1" hidden="1">
      <c r="A301" s="133" t="str">
        <f>Planilha!$B$1223</f>
        <v>14.20</v>
      </c>
      <c r="B301" s="130" t="str">
        <f>Planilha!$C$1223</f>
        <v>Sub-Grupo 14.20</v>
      </c>
      <c r="C301" s="131">
        <f>IF(G_14=0,0,ROUND(100*E301/G_14,2))</f>
        <v>0</v>
      </c>
      <c r="D301" s="131">
        <f>IF(TOTAL_GERAL=0,0,ROUND(100*E301/TOTAL_GERAL,2))</f>
        <v>0</v>
      </c>
      <c r="E301" s="132">
        <f>SG_14_20</f>
        <v>0</v>
      </c>
    </row>
    <row r="302" spans="1:5" s="114" customFormat="1" hidden="1">
      <c r="A302" s="125" t="str">
        <f>Planilha!$B$1228</f>
        <v>15</v>
      </c>
      <c r="B302" s="125" t="str">
        <f>Planilha!$C$1228</f>
        <v>GRUPO 15</v>
      </c>
      <c r="C302" s="126"/>
      <c r="D302" s="127">
        <f>IF(TOTAL_GERAL=0,0,ROUND(100*G_15/TOTAL_GERAL,2))</f>
        <v>0</v>
      </c>
      <c r="E302" s="128">
        <f>G_15</f>
        <v>0</v>
      </c>
    </row>
    <row r="303" spans="1:5" s="114" customFormat="1" hidden="1">
      <c r="A303" s="133" t="str">
        <f>Planilha!$B$1229</f>
        <v>15.01</v>
      </c>
      <c r="B303" s="130" t="str">
        <f>Planilha!$C$1229</f>
        <v>Sub-Grupo 15.01</v>
      </c>
      <c r="C303" s="131">
        <f>IF(G_15=0,0,ROUND(100*E303/G_15,2))</f>
        <v>0</v>
      </c>
      <c r="D303" s="131">
        <f>IF(TOTAL_GERAL=0,0,ROUND(100*E303/TOTAL_GERAL,2))</f>
        <v>0</v>
      </c>
      <c r="E303" s="132">
        <f>SG_15_01</f>
        <v>0</v>
      </c>
    </row>
    <row r="304" spans="1:5" s="114" customFormat="1" hidden="1">
      <c r="A304" s="133" t="str">
        <f>Planilha!$B$1233</f>
        <v>15.02</v>
      </c>
      <c r="B304" s="130" t="str">
        <f>Planilha!$C$1233</f>
        <v>Sub-Grupo 15.02</v>
      </c>
      <c r="C304" s="131">
        <f t="shared" ref="C304:C319" si="29">IF(G_15=0,0,ROUND(100*E304/G_15,2))</f>
        <v>0</v>
      </c>
      <c r="D304" s="131">
        <f t="shared" ref="D304:D317" si="30">IF(TOTAL_GERAL=0,0,ROUND(100*E304/TOTAL_GERAL,2))</f>
        <v>0</v>
      </c>
      <c r="E304" s="132">
        <f>SG_15_02</f>
        <v>0</v>
      </c>
    </row>
    <row r="305" spans="1:5" s="114" customFormat="1" hidden="1">
      <c r="A305" s="133" t="str">
        <f>Planilha!$B$1237</f>
        <v>15.03</v>
      </c>
      <c r="B305" s="130" t="str">
        <f>Planilha!$C$1237</f>
        <v>Sub-Grupo 15.03</v>
      </c>
      <c r="C305" s="131">
        <f t="shared" si="29"/>
        <v>0</v>
      </c>
      <c r="D305" s="131">
        <f t="shared" si="30"/>
        <v>0</v>
      </c>
      <c r="E305" s="132">
        <f>SG_15_03</f>
        <v>0</v>
      </c>
    </row>
    <row r="306" spans="1:5" s="114" customFormat="1" hidden="1">
      <c r="A306" s="133" t="str">
        <f>Planilha!$B$1241</f>
        <v>15.04</v>
      </c>
      <c r="B306" s="130" t="str">
        <f>Planilha!$C$1241</f>
        <v>Sub-Grupo 15.04</v>
      </c>
      <c r="C306" s="131">
        <f t="shared" si="29"/>
        <v>0</v>
      </c>
      <c r="D306" s="131">
        <f t="shared" si="30"/>
        <v>0</v>
      </c>
      <c r="E306" s="132">
        <f>SG_15_04</f>
        <v>0</v>
      </c>
    </row>
    <row r="307" spans="1:5" s="114" customFormat="1" hidden="1">
      <c r="A307" s="133" t="str">
        <f>Planilha!$B$1245</f>
        <v>15.05</v>
      </c>
      <c r="B307" s="130" t="str">
        <f>Planilha!$C$1245</f>
        <v>Sub-Grupo 15.05</v>
      </c>
      <c r="C307" s="131">
        <f t="shared" si="29"/>
        <v>0</v>
      </c>
      <c r="D307" s="131">
        <f t="shared" si="30"/>
        <v>0</v>
      </c>
      <c r="E307" s="132">
        <f>SG_15_05</f>
        <v>0</v>
      </c>
    </row>
    <row r="308" spans="1:5" s="114" customFormat="1" hidden="1">
      <c r="A308" s="133" t="str">
        <f>Planilha!$B$1249</f>
        <v>15.06</v>
      </c>
      <c r="B308" s="130" t="str">
        <f>Planilha!$C$1249</f>
        <v>Sub-Grupo 15.06</v>
      </c>
      <c r="C308" s="131">
        <f t="shared" si="29"/>
        <v>0</v>
      </c>
      <c r="D308" s="131">
        <f t="shared" si="30"/>
        <v>0</v>
      </c>
      <c r="E308" s="132">
        <f>SG_15_06</f>
        <v>0</v>
      </c>
    </row>
    <row r="309" spans="1:5" s="114" customFormat="1" hidden="1">
      <c r="A309" s="133" t="str">
        <f>Planilha!$B$1253</f>
        <v>15.07</v>
      </c>
      <c r="B309" s="130" t="str">
        <f>Planilha!$C$1253</f>
        <v>Sub-Grupo 15.07</v>
      </c>
      <c r="C309" s="131">
        <f t="shared" si="29"/>
        <v>0</v>
      </c>
      <c r="D309" s="131">
        <f t="shared" si="30"/>
        <v>0</v>
      </c>
      <c r="E309" s="132">
        <f>SG_15_07</f>
        <v>0</v>
      </c>
    </row>
    <row r="310" spans="1:5" s="114" customFormat="1" hidden="1">
      <c r="A310" s="133" t="str">
        <f>Planilha!$B$1257</f>
        <v>15.08</v>
      </c>
      <c r="B310" s="130" t="str">
        <f>Planilha!$C$1257</f>
        <v>Sub-Grupo 15.08</v>
      </c>
      <c r="C310" s="131">
        <f t="shared" si="29"/>
        <v>0</v>
      </c>
      <c r="D310" s="131">
        <f t="shared" si="30"/>
        <v>0</v>
      </c>
      <c r="E310" s="132">
        <f>SG_15_08</f>
        <v>0</v>
      </c>
    </row>
    <row r="311" spans="1:5" s="114" customFormat="1" hidden="1">
      <c r="A311" s="133" t="str">
        <f>Planilha!$B$1261</f>
        <v>15.09</v>
      </c>
      <c r="B311" s="130" t="str">
        <f>Planilha!$C$1261</f>
        <v>Sub-Grupo 15.09</v>
      </c>
      <c r="C311" s="131">
        <f t="shared" si="29"/>
        <v>0</v>
      </c>
      <c r="D311" s="131">
        <f t="shared" si="30"/>
        <v>0</v>
      </c>
      <c r="E311" s="132">
        <f>SG_15_09</f>
        <v>0</v>
      </c>
    </row>
    <row r="312" spans="1:5" s="114" customFormat="1" hidden="1">
      <c r="A312" s="133" t="str">
        <f>Planilha!$B$1265</f>
        <v>15.10</v>
      </c>
      <c r="B312" s="130" t="str">
        <f>Planilha!$C$1265</f>
        <v>Sub-Grupo 15.10</v>
      </c>
      <c r="C312" s="131">
        <f t="shared" si="29"/>
        <v>0</v>
      </c>
      <c r="D312" s="131">
        <f t="shared" si="30"/>
        <v>0</v>
      </c>
      <c r="E312" s="132">
        <f>SG_15_10</f>
        <v>0</v>
      </c>
    </row>
    <row r="313" spans="1:5" s="114" customFormat="1" hidden="1">
      <c r="A313" s="133" t="str">
        <f>Planilha!$B$1269</f>
        <v>15.11</v>
      </c>
      <c r="B313" s="130" t="str">
        <f>Planilha!$C$1269</f>
        <v>Sub-Grupo 15.11</v>
      </c>
      <c r="C313" s="131">
        <f t="shared" si="29"/>
        <v>0</v>
      </c>
      <c r="D313" s="131">
        <f t="shared" si="30"/>
        <v>0</v>
      </c>
      <c r="E313" s="132">
        <f>SG_15_11</f>
        <v>0</v>
      </c>
    </row>
    <row r="314" spans="1:5" s="114" customFormat="1" hidden="1">
      <c r="A314" s="133" t="str">
        <f>Planilha!$B$1273</f>
        <v>15.12</v>
      </c>
      <c r="B314" s="130" t="str">
        <f>Planilha!$C$1273</f>
        <v>Sub-Grupo 15.12</v>
      </c>
      <c r="C314" s="131">
        <f t="shared" si="29"/>
        <v>0</v>
      </c>
      <c r="D314" s="131">
        <f t="shared" si="30"/>
        <v>0</v>
      </c>
      <c r="E314" s="132">
        <f>SG_15_12</f>
        <v>0</v>
      </c>
    </row>
    <row r="315" spans="1:5" s="114" customFormat="1" hidden="1">
      <c r="A315" s="133" t="str">
        <f>Planilha!$B$1277</f>
        <v>15.13</v>
      </c>
      <c r="B315" s="130" t="str">
        <f>Planilha!$C$1277</f>
        <v>Sub-Grupo 15.13</v>
      </c>
      <c r="C315" s="131">
        <f t="shared" si="29"/>
        <v>0</v>
      </c>
      <c r="D315" s="131">
        <f t="shared" si="30"/>
        <v>0</v>
      </c>
      <c r="E315" s="132">
        <f>SG_15_13</f>
        <v>0</v>
      </c>
    </row>
    <row r="316" spans="1:5" s="114" customFormat="1" hidden="1">
      <c r="A316" s="133" t="str">
        <f>Planilha!$B$1281</f>
        <v>15.14</v>
      </c>
      <c r="B316" s="130" t="str">
        <f>Planilha!$C$1281</f>
        <v>Sub-Grupo 15.14</v>
      </c>
      <c r="C316" s="131">
        <f t="shared" si="29"/>
        <v>0</v>
      </c>
      <c r="D316" s="131">
        <f t="shared" si="30"/>
        <v>0</v>
      </c>
      <c r="E316" s="132">
        <f>SG_15_14</f>
        <v>0</v>
      </c>
    </row>
    <row r="317" spans="1:5" s="114" customFormat="1" hidden="1">
      <c r="A317" s="133" t="str">
        <f>Planilha!$B$1285</f>
        <v>15.15</v>
      </c>
      <c r="B317" s="130" t="str">
        <f>Planilha!$C$1285</f>
        <v>Sub-Grupo 15.15</v>
      </c>
      <c r="C317" s="131">
        <f t="shared" si="29"/>
        <v>0</v>
      </c>
      <c r="D317" s="131">
        <f t="shared" si="30"/>
        <v>0</v>
      </c>
      <c r="E317" s="132">
        <f>SG_15_15</f>
        <v>0</v>
      </c>
    </row>
    <row r="318" spans="1:5" s="114" customFormat="1" hidden="1">
      <c r="A318" s="133" t="str">
        <f>Planilha!$B$1289</f>
        <v>15.16</v>
      </c>
      <c r="B318" s="130" t="str">
        <f>Planilha!$C$1289</f>
        <v>Sub-Grupo 15.16</v>
      </c>
      <c r="C318" s="131">
        <f t="shared" si="29"/>
        <v>0</v>
      </c>
      <c r="D318" s="131">
        <f>IF(TOTAL_GERAL=0,0,ROUND(100*E318/TOTAL_GERAL,2))</f>
        <v>0</v>
      </c>
      <c r="E318" s="132">
        <f>SG_15_16</f>
        <v>0</v>
      </c>
    </row>
    <row r="319" spans="1:5" s="114" customFormat="1" hidden="1">
      <c r="A319" s="133" t="str">
        <f>Planilha!$B$1293</f>
        <v>15.17</v>
      </c>
      <c r="B319" s="130" t="str">
        <f>Planilha!$C$1293</f>
        <v>Sub-Grupo 15.17</v>
      </c>
      <c r="C319" s="131">
        <f t="shared" si="29"/>
        <v>0</v>
      </c>
      <c r="D319" s="131">
        <f>IF(TOTAL_GERAL=0,0,ROUND(100*E319/TOTAL_GERAL,2))</f>
        <v>0</v>
      </c>
      <c r="E319" s="132">
        <f>SG_15_17</f>
        <v>0</v>
      </c>
    </row>
    <row r="320" spans="1:5" s="114" customFormat="1" hidden="1">
      <c r="A320" s="133" t="str">
        <f>Planilha!$B$1297</f>
        <v>15.18</v>
      </c>
      <c r="B320" s="130" t="str">
        <f>Planilha!$C$1297</f>
        <v>Sub-Grupo 15.18</v>
      </c>
      <c r="C320" s="131">
        <f>IF(G_15=0,0,ROUND(100*E320/G_15,2))</f>
        <v>0</v>
      </c>
      <c r="D320" s="131">
        <f>IF(TOTAL_GERAL=0,0,ROUND(100*E320/TOTAL_GERAL,2))</f>
        <v>0</v>
      </c>
      <c r="E320" s="132">
        <f>SG_15_18</f>
        <v>0</v>
      </c>
    </row>
    <row r="321" spans="1:5" s="114" customFormat="1" hidden="1">
      <c r="A321" s="133" t="str">
        <f>Planilha!$B$1301</f>
        <v>15.19</v>
      </c>
      <c r="B321" s="130" t="str">
        <f>Planilha!$C$1301</f>
        <v>Sub-Grupo 15.19</v>
      </c>
      <c r="C321" s="131">
        <f>IF(G_15=0,0,ROUND(100*E321/G_15,2))</f>
        <v>0</v>
      </c>
      <c r="D321" s="131">
        <f>IF(TOTAL_GERAL=0,0,ROUND(100*E321/TOTAL_GERAL,2))</f>
        <v>0</v>
      </c>
      <c r="E321" s="132">
        <f>SG_15_19</f>
        <v>0</v>
      </c>
    </row>
    <row r="322" spans="1:5" s="114" customFormat="1" hidden="1">
      <c r="A322" s="133" t="str">
        <f>Planilha!$B$1305</f>
        <v>15.20</v>
      </c>
      <c r="B322" s="130" t="str">
        <f>Planilha!$C$1305</f>
        <v>Sub-Grupo 15.20</v>
      </c>
      <c r="C322" s="131">
        <f>IF(G_15=0,0,ROUND(100*E322/G_15,2))</f>
        <v>0</v>
      </c>
      <c r="D322" s="131">
        <f>IF(TOTAL_GERAL=0,0,ROUND(100*E322/TOTAL_GERAL,2))</f>
        <v>0</v>
      </c>
      <c r="E322" s="132">
        <f>SG_15_20</f>
        <v>0</v>
      </c>
    </row>
    <row r="323" spans="1:5" hidden="1">
      <c r="A323" s="125" t="str">
        <f>Planilha!$B$1310</f>
        <v>16</v>
      </c>
      <c r="B323" s="125" t="str">
        <f>Planilha!$C$1310</f>
        <v>GRUPO 16</v>
      </c>
      <c r="C323" s="126"/>
      <c r="D323" s="127">
        <f>IF(TOTAL_GERAL=0,0,ROUND(100*G_16/TOTAL_GERAL,2))</f>
        <v>0</v>
      </c>
      <c r="E323" s="128">
        <f>G_16</f>
        <v>0</v>
      </c>
    </row>
    <row r="324" spans="1:5" hidden="1">
      <c r="A324" s="133" t="str">
        <f>Planilha!$B$1311</f>
        <v>16.01</v>
      </c>
      <c r="B324" s="130" t="str">
        <f>Planilha!$C$1311</f>
        <v>Sub-Grupo 16.01</v>
      </c>
      <c r="C324" s="131">
        <f>IF(G_16=0,0,ROUND(100*E324/G_16,2))</f>
        <v>0</v>
      </c>
      <c r="D324" s="131">
        <f>IF(TOTAL_GERAL=0,0,ROUND(100*E324/TOTAL_GERAL,2))</f>
        <v>0</v>
      </c>
      <c r="E324" s="132">
        <f>SG_16_01</f>
        <v>0</v>
      </c>
    </row>
    <row r="325" spans="1:5" hidden="1">
      <c r="A325" s="133" t="str">
        <f>Planilha!$B$1315</f>
        <v>16.02</v>
      </c>
      <c r="B325" s="130" t="str">
        <f>Planilha!$C$1315</f>
        <v>Sub-Grupo 16.02</v>
      </c>
      <c r="C325" s="131">
        <f t="shared" ref="C325:C340" si="31">IF(G_16=0,0,ROUND(100*E325/G_16,2))</f>
        <v>0</v>
      </c>
      <c r="D325" s="131">
        <f t="shared" ref="D325:D338" si="32">IF(TOTAL_GERAL=0,0,ROUND(100*E325/TOTAL_GERAL,2))</f>
        <v>0</v>
      </c>
      <c r="E325" s="132">
        <f>SG_16_02</f>
        <v>0</v>
      </c>
    </row>
    <row r="326" spans="1:5" hidden="1">
      <c r="A326" s="133" t="str">
        <f>Planilha!$B$1319</f>
        <v>16.03</v>
      </c>
      <c r="B326" s="130" t="str">
        <f>Planilha!$C$1319</f>
        <v>Sub-Grupo 16.03</v>
      </c>
      <c r="C326" s="131">
        <f t="shared" si="31"/>
        <v>0</v>
      </c>
      <c r="D326" s="131">
        <f t="shared" si="32"/>
        <v>0</v>
      </c>
      <c r="E326" s="132">
        <f>SG_16_03</f>
        <v>0</v>
      </c>
    </row>
    <row r="327" spans="1:5" hidden="1">
      <c r="A327" s="133" t="str">
        <f>Planilha!$B$1323</f>
        <v>16.04</v>
      </c>
      <c r="B327" s="130" t="str">
        <f>Planilha!$C$1323</f>
        <v>Sub-Grupo 16.04</v>
      </c>
      <c r="C327" s="131">
        <f t="shared" si="31"/>
        <v>0</v>
      </c>
      <c r="D327" s="131">
        <f t="shared" si="32"/>
        <v>0</v>
      </c>
      <c r="E327" s="132">
        <f>SG_16_04</f>
        <v>0</v>
      </c>
    </row>
    <row r="328" spans="1:5" hidden="1">
      <c r="A328" s="133" t="str">
        <f>Planilha!$B$1327</f>
        <v>16.05</v>
      </c>
      <c r="B328" s="130" t="str">
        <f>Planilha!$C$1327</f>
        <v>Sub-Grupo 16.05</v>
      </c>
      <c r="C328" s="131">
        <f t="shared" si="31"/>
        <v>0</v>
      </c>
      <c r="D328" s="131">
        <f t="shared" si="32"/>
        <v>0</v>
      </c>
      <c r="E328" s="132">
        <f>SG_16_05</f>
        <v>0</v>
      </c>
    </row>
    <row r="329" spans="1:5" hidden="1">
      <c r="A329" s="133" t="str">
        <f>Planilha!$B$1331</f>
        <v>16.06</v>
      </c>
      <c r="B329" s="130" t="str">
        <f>Planilha!$C$1331</f>
        <v>Sub-Grupo 16.06</v>
      </c>
      <c r="C329" s="131">
        <f t="shared" si="31"/>
        <v>0</v>
      </c>
      <c r="D329" s="131">
        <f t="shared" si="32"/>
        <v>0</v>
      </c>
      <c r="E329" s="132">
        <f>SG_16_06</f>
        <v>0</v>
      </c>
    </row>
    <row r="330" spans="1:5" hidden="1">
      <c r="A330" s="133" t="str">
        <f>Planilha!$B$1335</f>
        <v>16.07</v>
      </c>
      <c r="B330" s="130" t="str">
        <f>Planilha!$C$1335</f>
        <v>Sub-Grupo 16.07</v>
      </c>
      <c r="C330" s="131">
        <f t="shared" si="31"/>
        <v>0</v>
      </c>
      <c r="D330" s="131">
        <f t="shared" si="32"/>
        <v>0</v>
      </c>
      <c r="E330" s="132">
        <f>SG_16_07</f>
        <v>0</v>
      </c>
    </row>
    <row r="331" spans="1:5" hidden="1">
      <c r="A331" s="133" t="str">
        <f>Planilha!$B$1339</f>
        <v>16.08</v>
      </c>
      <c r="B331" s="130" t="str">
        <f>Planilha!$C$1339</f>
        <v>Sub-Grupo 16.08</v>
      </c>
      <c r="C331" s="131">
        <f t="shared" si="31"/>
        <v>0</v>
      </c>
      <c r="D331" s="131">
        <f t="shared" si="32"/>
        <v>0</v>
      </c>
      <c r="E331" s="132">
        <f>SG_16_08</f>
        <v>0</v>
      </c>
    </row>
    <row r="332" spans="1:5" hidden="1">
      <c r="A332" s="133" t="str">
        <f>Planilha!$B$1343</f>
        <v>16.09</v>
      </c>
      <c r="B332" s="130" t="str">
        <f>Planilha!$C$1343</f>
        <v>Sub-Grupo 16.09</v>
      </c>
      <c r="C332" s="131">
        <f t="shared" si="31"/>
        <v>0</v>
      </c>
      <c r="D332" s="131">
        <f t="shared" si="32"/>
        <v>0</v>
      </c>
      <c r="E332" s="132">
        <f>SG_16_09</f>
        <v>0</v>
      </c>
    </row>
    <row r="333" spans="1:5" hidden="1">
      <c r="A333" s="133" t="str">
        <f>Planilha!$B$1347</f>
        <v>16.10</v>
      </c>
      <c r="B333" s="130" t="str">
        <f>Planilha!$C$1347</f>
        <v>Sub-Grupo 16.10</v>
      </c>
      <c r="C333" s="131">
        <f t="shared" si="31"/>
        <v>0</v>
      </c>
      <c r="D333" s="131">
        <f t="shared" si="32"/>
        <v>0</v>
      </c>
      <c r="E333" s="132">
        <f>SG_16_10</f>
        <v>0</v>
      </c>
    </row>
    <row r="334" spans="1:5" hidden="1">
      <c r="A334" s="133" t="str">
        <f>Planilha!$B$1351</f>
        <v>16.11</v>
      </c>
      <c r="B334" s="130" t="str">
        <f>Planilha!$C$1351</f>
        <v>Sub-Grupo 16.11</v>
      </c>
      <c r="C334" s="131">
        <f t="shared" si="31"/>
        <v>0</v>
      </c>
      <c r="D334" s="131">
        <f t="shared" si="32"/>
        <v>0</v>
      </c>
      <c r="E334" s="132">
        <f>SG_16_11</f>
        <v>0</v>
      </c>
    </row>
    <row r="335" spans="1:5" hidden="1">
      <c r="A335" s="133" t="str">
        <f>Planilha!$B$1355</f>
        <v>16.12</v>
      </c>
      <c r="B335" s="130" t="str">
        <f>Planilha!$C$1355</f>
        <v>Sub-Grupo 16.12</v>
      </c>
      <c r="C335" s="131">
        <f t="shared" si="31"/>
        <v>0</v>
      </c>
      <c r="D335" s="131">
        <f t="shared" si="32"/>
        <v>0</v>
      </c>
      <c r="E335" s="132">
        <f>SG_16_12</f>
        <v>0</v>
      </c>
    </row>
    <row r="336" spans="1:5" hidden="1">
      <c r="A336" s="133" t="str">
        <f>Planilha!$B$1359</f>
        <v>16.13</v>
      </c>
      <c r="B336" s="130" t="str">
        <f>Planilha!$C$1359</f>
        <v>Sub-Grupo 16.13</v>
      </c>
      <c r="C336" s="131">
        <f t="shared" si="31"/>
        <v>0</v>
      </c>
      <c r="D336" s="131">
        <f t="shared" si="32"/>
        <v>0</v>
      </c>
      <c r="E336" s="132">
        <f>SG_16_13</f>
        <v>0</v>
      </c>
    </row>
    <row r="337" spans="1:5" hidden="1">
      <c r="A337" s="133" t="str">
        <f>Planilha!$B$1363</f>
        <v>16.14</v>
      </c>
      <c r="B337" s="130" t="str">
        <f>Planilha!$C$1363</f>
        <v>Sub-Grupo 16.14</v>
      </c>
      <c r="C337" s="131">
        <f t="shared" si="31"/>
        <v>0</v>
      </c>
      <c r="D337" s="131">
        <f t="shared" si="32"/>
        <v>0</v>
      </c>
      <c r="E337" s="132">
        <f>SG_16_14</f>
        <v>0</v>
      </c>
    </row>
    <row r="338" spans="1:5" hidden="1">
      <c r="A338" s="133" t="str">
        <f>Planilha!$B$1367</f>
        <v>16.15</v>
      </c>
      <c r="B338" s="130" t="str">
        <f>Planilha!$C$1367</f>
        <v>Sub-Grupo 16.15</v>
      </c>
      <c r="C338" s="131">
        <f t="shared" si="31"/>
        <v>0</v>
      </c>
      <c r="D338" s="131">
        <f t="shared" si="32"/>
        <v>0</v>
      </c>
      <c r="E338" s="132">
        <f>SG_16_15</f>
        <v>0</v>
      </c>
    </row>
    <row r="339" spans="1:5" hidden="1">
      <c r="A339" s="133" t="str">
        <f>Planilha!$B$1371</f>
        <v>16.16</v>
      </c>
      <c r="B339" s="130" t="str">
        <f>Planilha!$C$1371</f>
        <v>Sub-Grupo 16.16</v>
      </c>
      <c r="C339" s="131">
        <f t="shared" si="31"/>
        <v>0</v>
      </c>
      <c r="D339" s="131">
        <f>IF(TOTAL_GERAL=0,0,ROUND(100*E339/TOTAL_GERAL,2))</f>
        <v>0</v>
      </c>
      <c r="E339" s="132">
        <f>SG_16_16</f>
        <v>0</v>
      </c>
    </row>
    <row r="340" spans="1:5" hidden="1">
      <c r="A340" s="133" t="str">
        <f>Planilha!$B$1375</f>
        <v>16.17</v>
      </c>
      <c r="B340" s="130" t="str">
        <f>Planilha!$C$1375</f>
        <v>Sub-Grupo 16.17</v>
      </c>
      <c r="C340" s="131">
        <f t="shared" si="31"/>
        <v>0</v>
      </c>
      <c r="D340" s="131">
        <f>IF(TOTAL_GERAL=0,0,ROUND(100*E340/TOTAL_GERAL,2))</f>
        <v>0</v>
      </c>
      <c r="E340" s="132">
        <f>SG_16_17</f>
        <v>0</v>
      </c>
    </row>
    <row r="341" spans="1:5" hidden="1">
      <c r="A341" s="133" t="str">
        <f>Planilha!$B$1379</f>
        <v>16.18</v>
      </c>
      <c r="B341" s="130" t="str">
        <f>Planilha!$C$1379</f>
        <v>Sub-Grupo 16.18</v>
      </c>
      <c r="C341" s="131">
        <f>IF(G_16=0,0,ROUND(100*E341/G_16,2))</f>
        <v>0</v>
      </c>
      <c r="D341" s="131">
        <f>IF(TOTAL_GERAL=0,0,ROUND(100*E341/TOTAL_GERAL,2))</f>
        <v>0</v>
      </c>
      <c r="E341" s="132">
        <f>SG_16_18</f>
        <v>0</v>
      </c>
    </row>
    <row r="342" spans="1:5" hidden="1">
      <c r="A342" s="133" t="str">
        <f>Planilha!$B$1383</f>
        <v>16.19</v>
      </c>
      <c r="B342" s="130" t="str">
        <f>Planilha!$C$1383</f>
        <v>Sub-Grupo 16.19</v>
      </c>
      <c r="C342" s="131">
        <f>IF(G_16=0,0,ROUND(100*E342/G_16,2))</f>
        <v>0</v>
      </c>
      <c r="D342" s="131">
        <f>IF(TOTAL_GERAL=0,0,ROUND(100*E342/TOTAL_GERAL,2))</f>
        <v>0</v>
      </c>
      <c r="E342" s="132">
        <f>SG_16_19</f>
        <v>0</v>
      </c>
    </row>
    <row r="343" spans="1:5" hidden="1">
      <c r="A343" s="133" t="str">
        <f>Planilha!$B$1387</f>
        <v>16.20</v>
      </c>
      <c r="B343" s="130" t="str">
        <f>Planilha!$C$1387</f>
        <v>Sub-Grupo 16.20</v>
      </c>
      <c r="C343" s="131">
        <f>IF(G_16=0,0,ROUND(100*E343/G_16,2))</f>
        <v>0</v>
      </c>
      <c r="D343" s="131">
        <f>IF(TOTAL_GERAL=0,0,ROUND(100*E343/TOTAL_GERAL,2))</f>
        <v>0</v>
      </c>
      <c r="E343" s="132">
        <f>SG_16_20</f>
        <v>0</v>
      </c>
    </row>
    <row r="344" spans="1:5" hidden="1">
      <c r="A344" s="125" t="str">
        <f>Planilha!$B$1392</f>
        <v>17</v>
      </c>
      <c r="B344" s="134" t="str">
        <f>Planilha!$C$1392</f>
        <v>GRUPO 17</v>
      </c>
      <c r="C344" s="126"/>
      <c r="D344" s="127">
        <f>IF(TOTAL_GERAL=0,0,ROUND(100*G_17/TOTAL_GERAL,2))</f>
        <v>0</v>
      </c>
      <c r="E344" s="128">
        <f>G_17</f>
        <v>0</v>
      </c>
    </row>
    <row r="345" spans="1:5" hidden="1">
      <c r="A345" s="133" t="str">
        <f>Planilha!$B$1393</f>
        <v>17.01</v>
      </c>
      <c r="B345" s="130" t="str">
        <f>Planilha!$C$1393</f>
        <v>Sub-Grupo 17.01</v>
      </c>
      <c r="C345" s="131">
        <f>IF(G_17=0,0,ROUND(100*E345/G_17,2))</f>
        <v>0</v>
      </c>
      <c r="D345" s="131">
        <f>IF(TOTAL_GERAL=0,0,ROUND(100*E345/TOTAL_GERAL,2))</f>
        <v>0</v>
      </c>
      <c r="E345" s="132">
        <f>SG_17_01</f>
        <v>0</v>
      </c>
    </row>
    <row r="346" spans="1:5" hidden="1">
      <c r="A346" s="133" t="str">
        <f>Planilha!$B$1397</f>
        <v>17.02</v>
      </c>
      <c r="B346" s="130" t="str">
        <f>Planilha!$C$1397</f>
        <v>Sub-Grupo 17.02</v>
      </c>
      <c r="C346" s="131">
        <f t="shared" ref="C346:C361" si="33">IF(G_17=0,0,ROUND(100*E346/G_17,2))</f>
        <v>0</v>
      </c>
      <c r="D346" s="131">
        <f t="shared" ref="D346:D359" si="34">IF(TOTAL_GERAL=0,0,ROUND(100*E346/TOTAL_GERAL,2))</f>
        <v>0</v>
      </c>
      <c r="E346" s="132">
        <f>SG_17_02</f>
        <v>0</v>
      </c>
    </row>
    <row r="347" spans="1:5" hidden="1">
      <c r="A347" s="133" t="str">
        <f>Planilha!$B$1401</f>
        <v>17.03</v>
      </c>
      <c r="B347" s="130" t="str">
        <f>Planilha!$C$1401</f>
        <v>Sub-Grupo 17.03</v>
      </c>
      <c r="C347" s="131">
        <f t="shared" si="33"/>
        <v>0</v>
      </c>
      <c r="D347" s="131">
        <f t="shared" si="34"/>
        <v>0</v>
      </c>
      <c r="E347" s="132">
        <f>SG_17_03</f>
        <v>0</v>
      </c>
    </row>
    <row r="348" spans="1:5" hidden="1">
      <c r="A348" s="133" t="str">
        <f>Planilha!$B$1405</f>
        <v>17.04</v>
      </c>
      <c r="B348" s="130" t="str">
        <f>Planilha!$C$1405</f>
        <v>Sub-Grupo 17.04</v>
      </c>
      <c r="C348" s="131">
        <f t="shared" si="33"/>
        <v>0</v>
      </c>
      <c r="D348" s="131">
        <f t="shared" si="34"/>
        <v>0</v>
      </c>
      <c r="E348" s="132">
        <f>SG_17_04</f>
        <v>0</v>
      </c>
    </row>
    <row r="349" spans="1:5" hidden="1">
      <c r="A349" s="133" t="str">
        <f>Planilha!$B$1409</f>
        <v>17.05</v>
      </c>
      <c r="B349" s="130" t="str">
        <f>Planilha!$C$1409</f>
        <v>Sub-Grupo 17.05</v>
      </c>
      <c r="C349" s="131">
        <f t="shared" si="33"/>
        <v>0</v>
      </c>
      <c r="D349" s="131">
        <f t="shared" si="34"/>
        <v>0</v>
      </c>
      <c r="E349" s="132">
        <f>SG_17_05</f>
        <v>0</v>
      </c>
    </row>
    <row r="350" spans="1:5" hidden="1">
      <c r="A350" s="133" t="str">
        <f>Planilha!$B$1413</f>
        <v>17.06</v>
      </c>
      <c r="B350" s="130" t="str">
        <f>Planilha!$C$1413</f>
        <v>Sub-Grupo 17.06</v>
      </c>
      <c r="C350" s="131">
        <f t="shared" si="33"/>
        <v>0</v>
      </c>
      <c r="D350" s="131">
        <f t="shared" si="34"/>
        <v>0</v>
      </c>
      <c r="E350" s="132">
        <f>SG_17_06</f>
        <v>0</v>
      </c>
    </row>
    <row r="351" spans="1:5" hidden="1">
      <c r="A351" s="133" t="str">
        <f>Planilha!$B$1417</f>
        <v>17.07</v>
      </c>
      <c r="B351" s="130" t="str">
        <f>Planilha!$C$1417</f>
        <v>Sub-Grupo 17.07</v>
      </c>
      <c r="C351" s="131">
        <f t="shared" si="33"/>
        <v>0</v>
      </c>
      <c r="D351" s="131">
        <f t="shared" si="34"/>
        <v>0</v>
      </c>
      <c r="E351" s="132">
        <f>SG_17_07</f>
        <v>0</v>
      </c>
    </row>
    <row r="352" spans="1:5" hidden="1">
      <c r="A352" s="133" t="str">
        <f>Planilha!$B$1421</f>
        <v>17.08</v>
      </c>
      <c r="B352" s="130" t="str">
        <f>Planilha!$C$1421</f>
        <v>Sub-Grupo 17.08</v>
      </c>
      <c r="C352" s="131">
        <f t="shared" si="33"/>
        <v>0</v>
      </c>
      <c r="D352" s="131">
        <f t="shared" si="34"/>
        <v>0</v>
      </c>
      <c r="E352" s="132">
        <f>SG_17_08</f>
        <v>0</v>
      </c>
    </row>
    <row r="353" spans="1:5" hidden="1">
      <c r="A353" s="133" t="str">
        <f>Planilha!$B$1425</f>
        <v>17.09</v>
      </c>
      <c r="B353" s="130" t="str">
        <f>Planilha!$C$1425</f>
        <v>Sub-Grupo 17.09</v>
      </c>
      <c r="C353" s="131">
        <f t="shared" si="33"/>
        <v>0</v>
      </c>
      <c r="D353" s="131">
        <f t="shared" si="34"/>
        <v>0</v>
      </c>
      <c r="E353" s="132">
        <f>SG_17_09</f>
        <v>0</v>
      </c>
    </row>
    <row r="354" spans="1:5" hidden="1">
      <c r="A354" s="133" t="str">
        <f>Planilha!$B$1429</f>
        <v>17.10</v>
      </c>
      <c r="B354" s="130" t="str">
        <f>Planilha!$C$1429</f>
        <v>Sub-Grupo 17.10</v>
      </c>
      <c r="C354" s="131">
        <f t="shared" si="33"/>
        <v>0</v>
      </c>
      <c r="D354" s="131">
        <f t="shared" si="34"/>
        <v>0</v>
      </c>
      <c r="E354" s="132">
        <f>SG_17_10</f>
        <v>0</v>
      </c>
    </row>
    <row r="355" spans="1:5" hidden="1">
      <c r="A355" s="133" t="str">
        <f>Planilha!$B$1433</f>
        <v>17.11</v>
      </c>
      <c r="B355" s="130" t="str">
        <f>Planilha!$C$1433</f>
        <v>Sub-Grupo 17.11</v>
      </c>
      <c r="C355" s="131">
        <f t="shared" si="33"/>
        <v>0</v>
      </c>
      <c r="D355" s="131">
        <f t="shared" si="34"/>
        <v>0</v>
      </c>
      <c r="E355" s="132">
        <f>SG_17_11</f>
        <v>0</v>
      </c>
    </row>
    <row r="356" spans="1:5" hidden="1">
      <c r="A356" s="133" t="str">
        <f>Planilha!$B$1437</f>
        <v>17.12</v>
      </c>
      <c r="B356" s="130" t="str">
        <f>Planilha!$C$1437</f>
        <v>Sub-Grupo 17.12</v>
      </c>
      <c r="C356" s="131">
        <f t="shared" si="33"/>
        <v>0</v>
      </c>
      <c r="D356" s="131">
        <f t="shared" si="34"/>
        <v>0</v>
      </c>
      <c r="E356" s="132">
        <f>SG_17_12</f>
        <v>0</v>
      </c>
    </row>
    <row r="357" spans="1:5" hidden="1">
      <c r="A357" s="133" t="str">
        <f>Planilha!$B$1441</f>
        <v>17.13</v>
      </c>
      <c r="B357" s="130" t="str">
        <f>Planilha!$C$1441</f>
        <v>Sub-Grupo 17.13</v>
      </c>
      <c r="C357" s="131">
        <f t="shared" si="33"/>
        <v>0</v>
      </c>
      <c r="D357" s="131">
        <f t="shared" si="34"/>
        <v>0</v>
      </c>
      <c r="E357" s="132">
        <f>SG_17_13</f>
        <v>0</v>
      </c>
    </row>
    <row r="358" spans="1:5" hidden="1">
      <c r="A358" s="133" t="str">
        <f>Planilha!$B$1445</f>
        <v>17.14</v>
      </c>
      <c r="B358" s="130" t="str">
        <f>Planilha!$C$1445</f>
        <v>Sub-Grupo 17.14</v>
      </c>
      <c r="C358" s="131">
        <f t="shared" si="33"/>
        <v>0</v>
      </c>
      <c r="D358" s="131">
        <f t="shared" si="34"/>
        <v>0</v>
      </c>
      <c r="E358" s="132">
        <f>SG_17_14</f>
        <v>0</v>
      </c>
    </row>
    <row r="359" spans="1:5" hidden="1">
      <c r="A359" s="133" t="str">
        <f>Planilha!$B$1449</f>
        <v>17.15</v>
      </c>
      <c r="B359" s="130" t="str">
        <f>Planilha!$C$1449</f>
        <v>Sub-Grupo 17.15</v>
      </c>
      <c r="C359" s="131">
        <f t="shared" si="33"/>
        <v>0</v>
      </c>
      <c r="D359" s="131">
        <f t="shared" si="34"/>
        <v>0</v>
      </c>
      <c r="E359" s="132">
        <f>SG_17_15</f>
        <v>0</v>
      </c>
    </row>
    <row r="360" spans="1:5" hidden="1">
      <c r="A360" s="133" t="str">
        <f>Planilha!$B$1453</f>
        <v>17.16</v>
      </c>
      <c r="B360" s="130" t="str">
        <f>Planilha!$C$1453</f>
        <v>Sub-Grupo 17.16</v>
      </c>
      <c r="C360" s="131">
        <f t="shared" si="33"/>
        <v>0</v>
      </c>
      <c r="D360" s="131">
        <f>IF(TOTAL_GERAL=0,0,ROUND(100*E360/TOTAL_GERAL,2))</f>
        <v>0</v>
      </c>
      <c r="E360" s="132">
        <f>SG_17_16</f>
        <v>0</v>
      </c>
    </row>
    <row r="361" spans="1:5" hidden="1">
      <c r="A361" s="133" t="str">
        <f>Planilha!$B$1457</f>
        <v>17.17</v>
      </c>
      <c r="B361" s="130" t="str">
        <f>Planilha!$C$1457</f>
        <v>Sub-Grupo 17.17</v>
      </c>
      <c r="C361" s="131">
        <f t="shared" si="33"/>
        <v>0</v>
      </c>
      <c r="D361" s="131">
        <f>IF(TOTAL_GERAL=0,0,ROUND(100*E361/TOTAL_GERAL,2))</f>
        <v>0</v>
      </c>
      <c r="E361" s="132">
        <f>SG_17_17</f>
        <v>0</v>
      </c>
    </row>
    <row r="362" spans="1:5" hidden="1">
      <c r="A362" s="133" t="str">
        <f>Planilha!$B$1461</f>
        <v>17.18</v>
      </c>
      <c r="B362" s="130" t="str">
        <f>Planilha!$C$1461</f>
        <v>Sub-Grupo 17.18</v>
      </c>
      <c r="C362" s="131">
        <f>IF(G_17=0,0,ROUND(100*E362/G_17,2))</f>
        <v>0</v>
      </c>
      <c r="D362" s="131">
        <f>IF(TOTAL_GERAL=0,0,ROUND(100*E362/TOTAL_GERAL,2))</f>
        <v>0</v>
      </c>
      <c r="E362" s="132">
        <f>SG_17_18</f>
        <v>0</v>
      </c>
    </row>
    <row r="363" spans="1:5" hidden="1">
      <c r="A363" s="133" t="str">
        <f>Planilha!$B$1465</f>
        <v>17.19</v>
      </c>
      <c r="B363" s="130" t="str">
        <f>Planilha!$C$1465</f>
        <v>Sub-Grupo 17.19</v>
      </c>
      <c r="C363" s="131">
        <f>IF(G_17=0,0,ROUND(100*E363/G_17,2))</f>
        <v>0</v>
      </c>
      <c r="D363" s="131">
        <f>IF(TOTAL_GERAL=0,0,ROUND(100*E363/TOTAL_GERAL,2))</f>
        <v>0</v>
      </c>
      <c r="E363" s="132">
        <f>SG_17_19</f>
        <v>0</v>
      </c>
    </row>
    <row r="364" spans="1:5" hidden="1">
      <c r="A364" s="133" t="str">
        <f>Planilha!$B$1469</f>
        <v>17.20</v>
      </c>
      <c r="B364" s="130" t="str">
        <f>Planilha!$C$1469</f>
        <v>Sub-Grupo 17.20</v>
      </c>
      <c r="C364" s="131">
        <f>IF(G_17=0,0,ROUND(100*E364/G_17,2))</f>
        <v>0</v>
      </c>
      <c r="D364" s="131">
        <f>IF(TOTAL_GERAL=0,0,ROUND(100*E364/TOTAL_GERAL,2))</f>
        <v>0</v>
      </c>
      <c r="E364" s="132">
        <f>SG_17_20</f>
        <v>0</v>
      </c>
    </row>
    <row r="365" spans="1:5" hidden="1">
      <c r="A365" s="125" t="str">
        <f>Planilha!$B$1474</f>
        <v>18</v>
      </c>
      <c r="B365" s="134" t="str">
        <f>Planilha!$C$1474</f>
        <v>GRUPO 18</v>
      </c>
      <c r="C365" s="126"/>
      <c r="D365" s="127">
        <f>IF(TOTAL_GERAL=0,0,ROUND(100*G_18/TOTAL_GERAL,2))</f>
        <v>0</v>
      </c>
      <c r="E365" s="128">
        <f>G_18</f>
        <v>0</v>
      </c>
    </row>
    <row r="366" spans="1:5" hidden="1">
      <c r="A366" s="133" t="str">
        <f>Planilha!$B$1475</f>
        <v>18.01</v>
      </c>
      <c r="B366" s="130" t="str">
        <f>Planilha!$C$1475</f>
        <v>Sub-Grupo 18.01</v>
      </c>
      <c r="C366" s="131">
        <f>IF(G_18=0,0,ROUND(100*E366/G_18,2))</f>
        <v>0</v>
      </c>
      <c r="D366" s="131">
        <f>IF(TOTAL_GERAL=0,0,ROUND(100*E366/TOTAL_GERAL,2))</f>
        <v>0</v>
      </c>
      <c r="E366" s="132">
        <f>SG_18_01</f>
        <v>0</v>
      </c>
    </row>
    <row r="367" spans="1:5" hidden="1">
      <c r="A367" s="133" t="str">
        <f>Planilha!$B$1479</f>
        <v>18.02</v>
      </c>
      <c r="B367" s="130" t="str">
        <f>Planilha!$C$1479</f>
        <v>Sub-Grupo 18.02</v>
      </c>
      <c r="C367" s="131">
        <f t="shared" ref="C367:C382" si="35">IF(G_18=0,0,ROUND(100*E367/G_18,2))</f>
        <v>0</v>
      </c>
      <c r="D367" s="131">
        <f t="shared" ref="D367:D380" si="36">IF(TOTAL_GERAL=0,0,ROUND(100*E367/TOTAL_GERAL,2))</f>
        <v>0</v>
      </c>
      <c r="E367" s="132">
        <f>SG_18_02</f>
        <v>0</v>
      </c>
    </row>
    <row r="368" spans="1:5" hidden="1">
      <c r="A368" s="133" t="str">
        <f>Planilha!$B$1483</f>
        <v>18.03</v>
      </c>
      <c r="B368" s="130" t="str">
        <f>Planilha!$C$1483</f>
        <v>Sub-Grupo 18.03</v>
      </c>
      <c r="C368" s="131">
        <f t="shared" si="35"/>
        <v>0</v>
      </c>
      <c r="D368" s="131">
        <f t="shared" si="36"/>
        <v>0</v>
      </c>
      <c r="E368" s="132">
        <f>SG_18_03</f>
        <v>0</v>
      </c>
    </row>
    <row r="369" spans="1:5" hidden="1">
      <c r="A369" s="133" t="str">
        <f>Planilha!$B$1487</f>
        <v>18.04</v>
      </c>
      <c r="B369" s="130" t="str">
        <f>Planilha!$C$1487</f>
        <v>Sub-Grupo 18.04</v>
      </c>
      <c r="C369" s="131">
        <f t="shared" si="35"/>
        <v>0</v>
      </c>
      <c r="D369" s="131">
        <f t="shared" si="36"/>
        <v>0</v>
      </c>
      <c r="E369" s="132">
        <f>SG_18_04</f>
        <v>0</v>
      </c>
    </row>
    <row r="370" spans="1:5" hidden="1">
      <c r="A370" s="133" t="str">
        <f>Planilha!$B$1491</f>
        <v>18.05</v>
      </c>
      <c r="B370" s="130" t="str">
        <f>Planilha!$C$1491</f>
        <v>Sub-Grupo 18.05</v>
      </c>
      <c r="C370" s="131">
        <f t="shared" si="35"/>
        <v>0</v>
      </c>
      <c r="D370" s="131">
        <f t="shared" si="36"/>
        <v>0</v>
      </c>
      <c r="E370" s="132">
        <f>SG_18_05</f>
        <v>0</v>
      </c>
    </row>
    <row r="371" spans="1:5" hidden="1">
      <c r="A371" s="133" t="str">
        <f>Planilha!$B$1495</f>
        <v>18.06</v>
      </c>
      <c r="B371" s="130" t="str">
        <f>Planilha!$C$1495</f>
        <v>Sub-Grupo 18.06</v>
      </c>
      <c r="C371" s="131">
        <f t="shared" si="35"/>
        <v>0</v>
      </c>
      <c r="D371" s="131">
        <f t="shared" si="36"/>
        <v>0</v>
      </c>
      <c r="E371" s="132">
        <f>SG_18_06</f>
        <v>0</v>
      </c>
    </row>
    <row r="372" spans="1:5" hidden="1">
      <c r="A372" s="133" t="str">
        <f>Planilha!$B$1499</f>
        <v>18.07</v>
      </c>
      <c r="B372" s="130" t="str">
        <f>Planilha!$C$1499</f>
        <v>Sub-Grupo 18.07</v>
      </c>
      <c r="C372" s="131">
        <f t="shared" si="35"/>
        <v>0</v>
      </c>
      <c r="D372" s="131">
        <f t="shared" si="36"/>
        <v>0</v>
      </c>
      <c r="E372" s="132">
        <f>SG_18_07</f>
        <v>0</v>
      </c>
    </row>
    <row r="373" spans="1:5" hidden="1">
      <c r="A373" s="133" t="str">
        <f>Planilha!$B$1503</f>
        <v>18.08</v>
      </c>
      <c r="B373" s="130" t="str">
        <f>Planilha!$C$1503</f>
        <v>Sub-Grupo 18.08</v>
      </c>
      <c r="C373" s="131">
        <f t="shared" si="35"/>
        <v>0</v>
      </c>
      <c r="D373" s="131">
        <f t="shared" si="36"/>
        <v>0</v>
      </c>
      <c r="E373" s="132">
        <f>SG_18_08</f>
        <v>0</v>
      </c>
    </row>
    <row r="374" spans="1:5" hidden="1">
      <c r="A374" s="133" t="str">
        <f>Planilha!$B$1507</f>
        <v>18.09</v>
      </c>
      <c r="B374" s="130" t="str">
        <f>Planilha!$C$1507</f>
        <v>Sub-Grupo 18.09</v>
      </c>
      <c r="C374" s="131">
        <f t="shared" si="35"/>
        <v>0</v>
      </c>
      <c r="D374" s="131">
        <f t="shared" si="36"/>
        <v>0</v>
      </c>
      <c r="E374" s="132">
        <f>SG_18_09</f>
        <v>0</v>
      </c>
    </row>
    <row r="375" spans="1:5" hidden="1">
      <c r="A375" s="133" t="str">
        <f>Planilha!$B$1511</f>
        <v>18.10</v>
      </c>
      <c r="B375" s="130" t="str">
        <f>Planilha!$C$1511</f>
        <v>Sub-Grupo 18.10</v>
      </c>
      <c r="C375" s="131">
        <f t="shared" si="35"/>
        <v>0</v>
      </c>
      <c r="D375" s="131">
        <f t="shared" si="36"/>
        <v>0</v>
      </c>
      <c r="E375" s="132">
        <f>SG_18_10</f>
        <v>0</v>
      </c>
    </row>
    <row r="376" spans="1:5" hidden="1">
      <c r="A376" s="133" t="str">
        <f>Planilha!$B$1515</f>
        <v>18.11</v>
      </c>
      <c r="B376" s="130" t="str">
        <f>Planilha!$C$1515</f>
        <v>Sub-Grupo 18.11</v>
      </c>
      <c r="C376" s="131">
        <f t="shared" si="35"/>
        <v>0</v>
      </c>
      <c r="D376" s="131">
        <f t="shared" si="36"/>
        <v>0</v>
      </c>
      <c r="E376" s="132">
        <f>SG_18_11</f>
        <v>0</v>
      </c>
    </row>
    <row r="377" spans="1:5" hidden="1">
      <c r="A377" s="133" t="str">
        <f>Planilha!$B$1519</f>
        <v>18.12</v>
      </c>
      <c r="B377" s="130" t="str">
        <f>Planilha!$C$1519</f>
        <v>Sub-Grupo 18.12</v>
      </c>
      <c r="C377" s="131">
        <f t="shared" si="35"/>
        <v>0</v>
      </c>
      <c r="D377" s="131">
        <f t="shared" si="36"/>
        <v>0</v>
      </c>
      <c r="E377" s="132">
        <f>SG_18_12</f>
        <v>0</v>
      </c>
    </row>
    <row r="378" spans="1:5" hidden="1">
      <c r="A378" s="133" t="str">
        <f>Planilha!$B$1523</f>
        <v>18.13</v>
      </c>
      <c r="B378" s="130" t="str">
        <f>Planilha!$C$1523</f>
        <v>Sub-Grupo 18.13</v>
      </c>
      <c r="C378" s="131">
        <f t="shared" si="35"/>
        <v>0</v>
      </c>
      <c r="D378" s="131">
        <f t="shared" si="36"/>
        <v>0</v>
      </c>
      <c r="E378" s="132">
        <f>SG_18_13</f>
        <v>0</v>
      </c>
    </row>
    <row r="379" spans="1:5" hidden="1">
      <c r="A379" s="133" t="str">
        <f>Planilha!$B$1527</f>
        <v>18.14</v>
      </c>
      <c r="B379" s="130" t="str">
        <f>Planilha!$C$1527</f>
        <v>Sub-Grupo 18.14</v>
      </c>
      <c r="C379" s="131">
        <f t="shared" si="35"/>
        <v>0</v>
      </c>
      <c r="D379" s="131">
        <f t="shared" si="36"/>
        <v>0</v>
      </c>
      <c r="E379" s="132">
        <f>SG_18_14</f>
        <v>0</v>
      </c>
    </row>
    <row r="380" spans="1:5" hidden="1">
      <c r="A380" s="133" t="str">
        <f>Planilha!$B$1531</f>
        <v>18.15</v>
      </c>
      <c r="B380" s="130" t="str">
        <f>Planilha!$C$1531</f>
        <v>Sub-Grupo 18.15</v>
      </c>
      <c r="C380" s="131">
        <f t="shared" si="35"/>
        <v>0</v>
      </c>
      <c r="D380" s="131">
        <f t="shared" si="36"/>
        <v>0</v>
      </c>
      <c r="E380" s="132">
        <f>SG_18_15</f>
        <v>0</v>
      </c>
    </row>
    <row r="381" spans="1:5" hidden="1">
      <c r="A381" s="133" t="str">
        <f>Planilha!$B$1535</f>
        <v>18.16</v>
      </c>
      <c r="B381" s="130" t="str">
        <f>Planilha!$C$1535</f>
        <v>Sub-Grupo 18.16</v>
      </c>
      <c r="C381" s="131">
        <f t="shared" si="35"/>
        <v>0</v>
      </c>
      <c r="D381" s="131">
        <f>IF(TOTAL_GERAL=0,0,ROUND(100*E381/TOTAL_GERAL,2))</f>
        <v>0</v>
      </c>
      <c r="E381" s="132">
        <f>SG_18_16</f>
        <v>0</v>
      </c>
    </row>
    <row r="382" spans="1:5" hidden="1">
      <c r="A382" s="133" t="str">
        <f>Planilha!$B$1539</f>
        <v>18.17</v>
      </c>
      <c r="B382" s="130" t="str">
        <f>Planilha!$C$1539</f>
        <v>Sub-Grupo 18.17</v>
      </c>
      <c r="C382" s="131">
        <f t="shared" si="35"/>
        <v>0</v>
      </c>
      <c r="D382" s="131">
        <f>IF(TOTAL_GERAL=0,0,ROUND(100*E382/TOTAL_GERAL,2))</f>
        <v>0</v>
      </c>
      <c r="E382" s="132">
        <f>SG_18_17</f>
        <v>0</v>
      </c>
    </row>
    <row r="383" spans="1:5" hidden="1">
      <c r="A383" s="133" t="str">
        <f>Planilha!$B$1543</f>
        <v>18.18</v>
      </c>
      <c r="B383" s="130" t="str">
        <f>Planilha!$C$1543</f>
        <v>Sub-Grupo 18.18</v>
      </c>
      <c r="C383" s="131">
        <f>IF(G_18=0,0,ROUND(100*E383/G_18,2))</f>
        <v>0</v>
      </c>
      <c r="D383" s="131">
        <f>IF(TOTAL_GERAL=0,0,ROUND(100*E383/TOTAL_GERAL,2))</f>
        <v>0</v>
      </c>
      <c r="E383" s="132">
        <f>SG_18_18</f>
        <v>0</v>
      </c>
    </row>
    <row r="384" spans="1:5" hidden="1">
      <c r="A384" s="133" t="str">
        <f>Planilha!$B$1547</f>
        <v>18.19</v>
      </c>
      <c r="B384" s="130" t="str">
        <f>Planilha!$C$1547</f>
        <v>Sub-Grupo 18.19</v>
      </c>
      <c r="C384" s="131">
        <f>IF(G_18=0,0,ROUND(100*E384/G_18,2))</f>
        <v>0</v>
      </c>
      <c r="D384" s="131">
        <f>IF(TOTAL_GERAL=0,0,ROUND(100*E384/TOTAL_GERAL,2))</f>
        <v>0</v>
      </c>
      <c r="E384" s="132">
        <f>SG_18_19</f>
        <v>0</v>
      </c>
    </row>
    <row r="385" spans="1:5" hidden="1">
      <c r="A385" s="133" t="str">
        <f>Planilha!$B$1551</f>
        <v>18.20</v>
      </c>
      <c r="B385" s="130" t="str">
        <f>Planilha!$C$1551</f>
        <v>Sub-Grupo 18.20</v>
      </c>
      <c r="C385" s="131">
        <f>IF(G_18=0,0,ROUND(100*E385/G_18,2))</f>
        <v>0</v>
      </c>
      <c r="D385" s="131">
        <f>IF(TOTAL_GERAL=0,0,ROUND(100*E385/TOTAL_GERAL,2))</f>
        <v>0</v>
      </c>
      <c r="E385" s="132">
        <f>SG_18_20</f>
        <v>0</v>
      </c>
    </row>
    <row r="386" spans="1:5" hidden="1">
      <c r="A386" s="125" t="str">
        <f>Planilha!$B$1556</f>
        <v>19</v>
      </c>
      <c r="B386" s="134" t="str">
        <f>Planilha!$C$1556</f>
        <v>GRUPO 19</v>
      </c>
      <c r="C386" s="126"/>
      <c r="D386" s="127">
        <f>IF(TOTAL_GERAL=0,0,ROUND(100*G_19/TOTAL_GERAL,2))</f>
        <v>0</v>
      </c>
      <c r="E386" s="128">
        <f>G_19</f>
        <v>0</v>
      </c>
    </row>
    <row r="387" spans="1:5" hidden="1">
      <c r="A387" s="133" t="str">
        <f>Planilha!$B$1557</f>
        <v>19.01</v>
      </c>
      <c r="B387" s="130" t="str">
        <f>Planilha!$C$1557</f>
        <v>Sub-Grupo 19.01</v>
      </c>
      <c r="C387" s="131">
        <f>IF(G_19=0,0,ROUND(100*E387/G_19,2))</f>
        <v>0</v>
      </c>
      <c r="D387" s="131">
        <f>IF(TOTAL_GERAL=0,0,ROUND(100*E387/TOTAL_GERAL,2))</f>
        <v>0</v>
      </c>
      <c r="E387" s="132">
        <f>SG_19_01</f>
        <v>0</v>
      </c>
    </row>
    <row r="388" spans="1:5" hidden="1">
      <c r="A388" s="133" t="str">
        <f>Planilha!$B$1561</f>
        <v>19.02</v>
      </c>
      <c r="B388" s="130" t="str">
        <f>Planilha!$C$1561</f>
        <v>Sub-Grupo 19.02</v>
      </c>
      <c r="C388" s="131">
        <f t="shared" ref="C388:C403" si="37">IF(G_19=0,0,ROUND(100*E388/G_19,2))</f>
        <v>0</v>
      </c>
      <c r="D388" s="131">
        <f t="shared" ref="D388:D401" si="38">IF(TOTAL_GERAL=0,0,ROUND(100*E388/TOTAL_GERAL,2))</f>
        <v>0</v>
      </c>
      <c r="E388" s="132">
        <f>SG_19_02</f>
        <v>0</v>
      </c>
    </row>
    <row r="389" spans="1:5" hidden="1">
      <c r="A389" s="133" t="str">
        <f>Planilha!$B$1565</f>
        <v>19.03</v>
      </c>
      <c r="B389" s="130" t="str">
        <f>Planilha!$C$1565</f>
        <v>Sub-Grupo 19.03</v>
      </c>
      <c r="C389" s="131">
        <f t="shared" si="37"/>
        <v>0</v>
      </c>
      <c r="D389" s="131">
        <f t="shared" si="38"/>
        <v>0</v>
      </c>
      <c r="E389" s="132">
        <f>SG_19_03</f>
        <v>0</v>
      </c>
    </row>
    <row r="390" spans="1:5" hidden="1">
      <c r="A390" s="133" t="str">
        <f>Planilha!$B$1569</f>
        <v>19.04</v>
      </c>
      <c r="B390" s="130" t="str">
        <f>Planilha!$C$1569</f>
        <v>Sub-Grupo 19.04</v>
      </c>
      <c r="C390" s="131">
        <f t="shared" si="37"/>
        <v>0</v>
      </c>
      <c r="D390" s="131">
        <f t="shared" si="38"/>
        <v>0</v>
      </c>
      <c r="E390" s="132">
        <f>SG_19_04</f>
        <v>0</v>
      </c>
    </row>
    <row r="391" spans="1:5" hidden="1">
      <c r="A391" s="133" t="str">
        <f>Planilha!$B$1573</f>
        <v>19.05</v>
      </c>
      <c r="B391" s="130" t="str">
        <f>Planilha!$C$1573</f>
        <v>Sub-Grupo 19.05</v>
      </c>
      <c r="C391" s="131">
        <f t="shared" si="37"/>
        <v>0</v>
      </c>
      <c r="D391" s="131">
        <f t="shared" si="38"/>
        <v>0</v>
      </c>
      <c r="E391" s="132">
        <f>SG_19_05</f>
        <v>0</v>
      </c>
    </row>
    <row r="392" spans="1:5" hidden="1">
      <c r="A392" s="133" t="str">
        <f>Planilha!$B$1577</f>
        <v>19.06</v>
      </c>
      <c r="B392" s="130" t="str">
        <f>Planilha!$C$1577</f>
        <v>Sub-Grupo 19.06</v>
      </c>
      <c r="C392" s="131">
        <f t="shared" si="37"/>
        <v>0</v>
      </c>
      <c r="D392" s="131">
        <f t="shared" si="38"/>
        <v>0</v>
      </c>
      <c r="E392" s="132">
        <f>SG_19_06</f>
        <v>0</v>
      </c>
    </row>
    <row r="393" spans="1:5" hidden="1">
      <c r="A393" s="133" t="str">
        <f>Planilha!$B$1581</f>
        <v>19.07</v>
      </c>
      <c r="B393" s="130" t="str">
        <f>Planilha!$C$1581</f>
        <v>Sub-Grupo 19.07</v>
      </c>
      <c r="C393" s="131">
        <f t="shared" si="37"/>
        <v>0</v>
      </c>
      <c r="D393" s="131">
        <f t="shared" si="38"/>
        <v>0</v>
      </c>
      <c r="E393" s="132">
        <f>SG_19_07</f>
        <v>0</v>
      </c>
    </row>
    <row r="394" spans="1:5" hidden="1">
      <c r="A394" s="133" t="str">
        <f>Planilha!$B$1585</f>
        <v>19.08</v>
      </c>
      <c r="B394" s="130" t="str">
        <f>Planilha!$C$1585</f>
        <v>Sub-Grupo 19.08</v>
      </c>
      <c r="C394" s="131">
        <f t="shared" si="37"/>
        <v>0</v>
      </c>
      <c r="D394" s="131">
        <f t="shared" si="38"/>
        <v>0</v>
      </c>
      <c r="E394" s="132">
        <f>SG_19_08</f>
        <v>0</v>
      </c>
    </row>
    <row r="395" spans="1:5" hidden="1">
      <c r="A395" s="133" t="str">
        <f>Planilha!$B$1589</f>
        <v>19.09</v>
      </c>
      <c r="B395" s="130" t="str">
        <f>Planilha!$C$1589</f>
        <v>Sub-Grupo 19.09</v>
      </c>
      <c r="C395" s="131">
        <f t="shared" si="37"/>
        <v>0</v>
      </c>
      <c r="D395" s="131">
        <f t="shared" si="38"/>
        <v>0</v>
      </c>
      <c r="E395" s="132">
        <f>SG_19_09</f>
        <v>0</v>
      </c>
    </row>
    <row r="396" spans="1:5" hidden="1">
      <c r="A396" s="133" t="str">
        <f>Planilha!$B$1593</f>
        <v>19.10</v>
      </c>
      <c r="B396" s="130" t="str">
        <f>Planilha!$C$1593</f>
        <v>Sub-Grupo 19.10</v>
      </c>
      <c r="C396" s="131">
        <f t="shared" si="37"/>
        <v>0</v>
      </c>
      <c r="D396" s="131">
        <f t="shared" si="38"/>
        <v>0</v>
      </c>
      <c r="E396" s="132">
        <f>SG_19_10</f>
        <v>0</v>
      </c>
    </row>
    <row r="397" spans="1:5" hidden="1">
      <c r="A397" s="133" t="str">
        <f>Planilha!$B$1597</f>
        <v>19.11</v>
      </c>
      <c r="B397" s="130" t="str">
        <f>Planilha!$C$1597</f>
        <v>Sub-Grupo 19.11</v>
      </c>
      <c r="C397" s="131">
        <f t="shared" si="37"/>
        <v>0</v>
      </c>
      <c r="D397" s="131">
        <f t="shared" si="38"/>
        <v>0</v>
      </c>
      <c r="E397" s="132">
        <f>SG_19_11</f>
        <v>0</v>
      </c>
    </row>
    <row r="398" spans="1:5" hidden="1">
      <c r="A398" s="133" t="str">
        <f>Planilha!$B$1601</f>
        <v>19.12</v>
      </c>
      <c r="B398" s="130" t="str">
        <f>Planilha!$C$1601</f>
        <v>Sub-Grupo 19.12</v>
      </c>
      <c r="C398" s="131">
        <f t="shared" si="37"/>
        <v>0</v>
      </c>
      <c r="D398" s="131">
        <f t="shared" si="38"/>
        <v>0</v>
      </c>
      <c r="E398" s="132">
        <f>SG_19_12</f>
        <v>0</v>
      </c>
    </row>
    <row r="399" spans="1:5" hidden="1">
      <c r="A399" s="133" t="str">
        <f>Planilha!$B$1605</f>
        <v>19.13</v>
      </c>
      <c r="B399" s="130" t="str">
        <f>Planilha!$C$1605</f>
        <v>Sub-Grupo 19.13</v>
      </c>
      <c r="C399" s="131">
        <f t="shared" si="37"/>
        <v>0</v>
      </c>
      <c r="D399" s="131">
        <f t="shared" si="38"/>
        <v>0</v>
      </c>
      <c r="E399" s="132">
        <f>SG_19_13</f>
        <v>0</v>
      </c>
    </row>
    <row r="400" spans="1:5" hidden="1">
      <c r="A400" s="133" t="str">
        <f>Planilha!$B$1609</f>
        <v>19.14</v>
      </c>
      <c r="B400" s="130" t="str">
        <f>Planilha!$C$1609</f>
        <v>Sub-Grupo 19.14</v>
      </c>
      <c r="C400" s="131">
        <f t="shared" si="37"/>
        <v>0</v>
      </c>
      <c r="D400" s="131">
        <f t="shared" si="38"/>
        <v>0</v>
      </c>
      <c r="E400" s="132">
        <f>SG_19_14</f>
        <v>0</v>
      </c>
    </row>
    <row r="401" spans="1:5" hidden="1">
      <c r="A401" s="133" t="str">
        <f>Planilha!$B$1613</f>
        <v>19.15</v>
      </c>
      <c r="B401" s="130" t="str">
        <f>Planilha!$C$1613</f>
        <v>Sub-Grupo 19.15</v>
      </c>
      <c r="C401" s="131">
        <f t="shared" si="37"/>
        <v>0</v>
      </c>
      <c r="D401" s="131">
        <f t="shared" si="38"/>
        <v>0</v>
      </c>
      <c r="E401" s="132">
        <f>SG_19_15</f>
        <v>0</v>
      </c>
    </row>
    <row r="402" spans="1:5" hidden="1">
      <c r="A402" s="133" t="str">
        <f>Planilha!$B$1617</f>
        <v>19.16</v>
      </c>
      <c r="B402" s="130" t="str">
        <f>Planilha!$C$1617</f>
        <v>Sub-Grupo 19.16</v>
      </c>
      <c r="C402" s="131">
        <f t="shared" si="37"/>
        <v>0</v>
      </c>
      <c r="D402" s="131">
        <f>IF(TOTAL_GERAL=0,0,ROUND(100*E402/TOTAL_GERAL,2))</f>
        <v>0</v>
      </c>
      <c r="E402" s="132">
        <f>SG_19_16</f>
        <v>0</v>
      </c>
    </row>
    <row r="403" spans="1:5" hidden="1">
      <c r="A403" s="133" t="str">
        <f>Planilha!$B$1621</f>
        <v>19.17</v>
      </c>
      <c r="B403" s="130" t="str">
        <f>Planilha!$C$1621</f>
        <v>Sub-Grupo 19.17</v>
      </c>
      <c r="C403" s="131">
        <f t="shared" si="37"/>
        <v>0</v>
      </c>
      <c r="D403" s="131">
        <f>IF(TOTAL_GERAL=0,0,ROUND(100*E403/TOTAL_GERAL,2))</f>
        <v>0</v>
      </c>
      <c r="E403" s="132">
        <f>SG_19_17</f>
        <v>0</v>
      </c>
    </row>
    <row r="404" spans="1:5" hidden="1">
      <c r="A404" s="133" t="str">
        <f>Planilha!$B$1625</f>
        <v>19.18</v>
      </c>
      <c r="B404" s="130" t="str">
        <f>Planilha!$C$1625</f>
        <v>Sub-Grupo 19.18</v>
      </c>
      <c r="C404" s="131">
        <f>IF(G_19=0,0,ROUND(100*E404/G_19,2))</f>
        <v>0</v>
      </c>
      <c r="D404" s="131">
        <f>IF(TOTAL_GERAL=0,0,ROUND(100*E404/TOTAL_GERAL,2))</f>
        <v>0</v>
      </c>
      <c r="E404" s="132">
        <f>SG_19_18</f>
        <v>0</v>
      </c>
    </row>
    <row r="405" spans="1:5" hidden="1">
      <c r="A405" s="133" t="str">
        <f>Planilha!$B$1629</f>
        <v>19.19</v>
      </c>
      <c r="B405" s="130" t="str">
        <f>Planilha!$C$1629</f>
        <v>Sub-Grupo 19.19</v>
      </c>
      <c r="C405" s="131">
        <f>IF(G_19=0,0,ROUND(100*E405/G_19,2))</f>
        <v>0</v>
      </c>
      <c r="D405" s="131">
        <f>IF(TOTAL_GERAL=0,0,ROUND(100*E405/TOTAL_GERAL,2))</f>
        <v>0</v>
      </c>
      <c r="E405" s="132">
        <f>SG_19_19</f>
        <v>0</v>
      </c>
    </row>
    <row r="406" spans="1:5" hidden="1">
      <c r="A406" s="133" t="str">
        <f>Planilha!$B$1633</f>
        <v>19.20</v>
      </c>
      <c r="B406" s="130" t="str">
        <f>Planilha!$C$1633</f>
        <v>Sub-Grupo 19.20</v>
      </c>
      <c r="C406" s="131">
        <f>IF(G_19=0,0,ROUND(100*E406/G_19,2))</f>
        <v>0</v>
      </c>
      <c r="D406" s="131">
        <f>IF(TOTAL_GERAL=0,0,ROUND(100*E406/TOTAL_GERAL,2))</f>
        <v>0</v>
      </c>
      <c r="E406" s="132">
        <f>SG_19_20</f>
        <v>0</v>
      </c>
    </row>
    <row r="407" spans="1:5" hidden="1">
      <c r="A407" s="125" t="str">
        <f>Planilha!$B$1638</f>
        <v>20</v>
      </c>
      <c r="B407" s="134" t="str">
        <f>Planilha!$C$1638</f>
        <v>GRUPO 20</v>
      </c>
      <c r="C407" s="126"/>
      <c r="D407" s="127">
        <f>IF(TOTAL_GERAL=0,0,ROUND(100*G_20/TOTAL_GERAL,2))</f>
        <v>0</v>
      </c>
      <c r="E407" s="128">
        <f>G_20</f>
        <v>0</v>
      </c>
    </row>
    <row r="408" spans="1:5" hidden="1">
      <c r="A408" s="133" t="str">
        <f>Planilha!$B$1639</f>
        <v>20.01</v>
      </c>
      <c r="B408" s="130" t="str">
        <f>Planilha!$C$1639</f>
        <v>Sub-Grupo 20.01</v>
      </c>
      <c r="C408" s="131">
        <f>IF(G_20=0,0,ROUND(100*E408/G_20,2))</f>
        <v>0</v>
      </c>
      <c r="D408" s="131">
        <f>IF(TOTAL_GERAL=0,0,ROUND(100*E408/TOTAL_GERAL,2))</f>
        <v>0</v>
      </c>
      <c r="E408" s="132">
        <f>SG_20_01</f>
        <v>0</v>
      </c>
    </row>
    <row r="409" spans="1:5" hidden="1">
      <c r="A409" s="133" t="str">
        <f>Planilha!$B$1643</f>
        <v>20.02</v>
      </c>
      <c r="B409" s="130" t="str">
        <f>Planilha!$C$1643</f>
        <v>Sub-Grupo 20.02</v>
      </c>
      <c r="C409" s="131">
        <f t="shared" ref="C409:C424" si="39">IF(G_20=0,0,ROUND(100*E409/G_20,2))</f>
        <v>0</v>
      </c>
      <c r="D409" s="131">
        <f t="shared" ref="D409:D422" si="40">IF(TOTAL_GERAL=0,0,ROUND(100*E409/TOTAL_GERAL,2))</f>
        <v>0</v>
      </c>
      <c r="E409" s="132">
        <f>SG_20_02</f>
        <v>0</v>
      </c>
    </row>
    <row r="410" spans="1:5" hidden="1">
      <c r="A410" s="133" t="str">
        <f>Planilha!$B$1647</f>
        <v>20.03</v>
      </c>
      <c r="B410" s="130" t="str">
        <f>Planilha!$C$1647</f>
        <v>Sub-Grupo 20.03</v>
      </c>
      <c r="C410" s="131">
        <f t="shared" si="39"/>
        <v>0</v>
      </c>
      <c r="D410" s="131">
        <f t="shared" si="40"/>
        <v>0</v>
      </c>
      <c r="E410" s="132">
        <f>SG_20_03</f>
        <v>0</v>
      </c>
    </row>
    <row r="411" spans="1:5" hidden="1">
      <c r="A411" s="133" t="str">
        <f>Planilha!$B$1651</f>
        <v>20.04</v>
      </c>
      <c r="B411" s="130" t="str">
        <f>Planilha!$C$1651</f>
        <v>Sub-Grupo 20.04</v>
      </c>
      <c r="C411" s="131">
        <f t="shared" si="39"/>
        <v>0</v>
      </c>
      <c r="D411" s="131">
        <f t="shared" si="40"/>
        <v>0</v>
      </c>
      <c r="E411" s="132">
        <f>SG_20_04</f>
        <v>0</v>
      </c>
    </row>
    <row r="412" spans="1:5" hidden="1">
      <c r="A412" s="133" t="str">
        <f>Planilha!$B$1655</f>
        <v>20.05</v>
      </c>
      <c r="B412" s="130" t="str">
        <f>Planilha!$C$1655</f>
        <v>Sub-Grupo 20.05</v>
      </c>
      <c r="C412" s="131">
        <f t="shared" si="39"/>
        <v>0</v>
      </c>
      <c r="D412" s="131">
        <f t="shared" si="40"/>
        <v>0</v>
      </c>
      <c r="E412" s="132">
        <f>SG_20_05</f>
        <v>0</v>
      </c>
    </row>
    <row r="413" spans="1:5" hidden="1">
      <c r="A413" s="133" t="str">
        <f>Planilha!$B$1659</f>
        <v>20.06</v>
      </c>
      <c r="B413" s="130" t="str">
        <f>Planilha!$C$1659</f>
        <v>Sub-Grupo 20.06</v>
      </c>
      <c r="C413" s="131">
        <f t="shared" si="39"/>
        <v>0</v>
      </c>
      <c r="D413" s="131">
        <f t="shared" si="40"/>
        <v>0</v>
      </c>
      <c r="E413" s="132">
        <f>SG_20_06</f>
        <v>0</v>
      </c>
    </row>
    <row r="414" spans="1:5" hidden="1">
      <c r="A414" s="133" t="str">
        <f>Planilha!$B$1663</f>
        <v>20.07</v>
      </c>
      <c r="B414" s="130" t="str">
        <f>Planilha!$C$1663</f>
        <v>Sub-Grupo 20.07</v>
      </c>
      <c r="C414" s="131">
        <f t="shared" si="39"/>
        <v>0</v>
      </c>
      <c r="D414" s="131">
        <f t="shared" si="40"/>
        <v>0</v>
      </c>
      <c r="E414" s="132">
        <f>SG_20_07</f>
        <v>0</v>
      </c>
    </row>
    <row r="415" spans="1:5" hidden="1">
      <c r="A415" s="133" t="str">
        <f>Planilha!$B$1667</f>
        <v>20.08</v>
      </c>
      <c r="B415" s="130" t="str">
        <f>Planilha!$C$1667</f>
        <v>Sub-Grupo 20.08</v>
      </c>
      <c r="C415" s="131">
        <f t="shared" si="39"/>
        <v>0</v>
      </c>
      <c r="D415" s="131">
        <f t="shared" si="40"/>
        <v>0</v>
      </c>
      <c r="E415" s="132">
        <f>SG_20_08</f>
        <v>0</v>
      </c>
    </row>
    <row r="416" spans="1:5" hidden="1">
      <c r="A416" s="133" t="str">
        <f>Planilha!$B$1671</f>
        <v>20.09</v>
      </c>
      <c r="B416" s="130" t="str">
        <f>Planilha!$C$1671</f>
        <v>Sub-Grupo 20.09</v>
      </c>
      <c r="C416" s="131">
        <f t="shared" si="39"/>
        <v>0</v>
      </c>
      <c r="D416" s="131">
        <f t="shared" si="40"/>
        <v>0</v>
      </c>
      <c r="E416" s="132">
        <f>SG_20_09</f>
        <v>0</v>
      </c>
    </row>
    <row r="417" spans="1:5" hidden="1">
      <c r="A417" s="133" t="str">
        <f>Planilha!$B$1675</f>
        <v>20.10</v>
      </c>
      <c r="B417" s="130" t="str">
        <f>Planilha!$C$1675</f>
        <v>Sub-Grupo 20.10</v>
      </c>
      <c r="C417" s="131">
        <f t="shared" si="39"/>
        <v>0</v>
      </c>
      <c r="D417" s="131">
        <f t="shared" si="40"/>
        <v>0</v>
      </c>
      <c r="E417" s="132">
        <f>SG_20_10</f>
        <v>0</v>
      </c>
    </row>
    <row r="418" spans="1:5" hidden="1">
      <c r="A418" s="133" t="str">
        <f>Planilha!$B$1679</f>
        <v>20.11</v>
      </c>
      <c r="B418" s="130" t="str">
        <f>Planilha!$C$1679</f>
        <v>Sub-Grupo 20.11</v>
      </c>
      <c r="C418" s="131">
        <f t="shared" si="39"/>
        <v>0</v>
      </c>
      <c r="D418" s="131">
        <f t="shared" si="40"/>
        <v>0</v>
      </c>
      <c r="E418" s="132">
        <f>SG_20_11</f>
        <v>0</v>
      </c>
    </row>
    <row r="419" spans="1:5" hidden="1">
      <c r="A419" s="133" t="str">
        <f>Planilha!$B$1683</f>
        <v>20.12</v>
      </c>
      <c r="B419" s="130" t="str">
        <f>Planilha!$C$1683</f>
        <v>Sub-Grupo 20.12</v>
      </c>
      <c r="C419" s="131">
        <f t="shared" si="39"/>
        <v>0</v>
      </c>
      <c r="D419" s="131">
        <f t="shared" si="40"/>
        <v>0</v>
      </c>
      <c r="E419" s="132">
        <f>SG_20_12</f>
        <v>0</v>
      </c>
    </row>
    <row r="420" spans="1:5" hidden="1">
      <c r="A420" s="133" t="str">
        <f>Planilha!$B$1687</f>
        <v>20.13</v>
      </c>
      <c r="B420" s="130" t="str">
        <f>Planilha!$C$1687</f>
        <v>Sub-Grupo 20.13</v>
      </c>
      <c r="C420" s="131">
        <f t="shared" si="39"/>
        <v>0</v>
      </c>
      <c r="D420" s="131">
        <f t="shared" si="40"/>
        <v>0</v>
      </c>
      <c r="E420" s="132">
        <f>SG_20_13</f>
        <v>0</v>
      </c>
    </row>
    <row r="421" spans="1:5" hidden="1">
      <c r="A421" s="133" t="str">
        <f>Planilha!$B$1691</f>
        <v>20.14</v>
      </c>
      <c r="B421" s="130" t="str">
        <f>Planilha!$C$1691</f>
        <v>Sub-Grupo 20.14</v>
      </c>
      <c r="C421" s="131">
        <f t="shared" si="39"/>
        <v>0</v>
      </c>
      <c r="D421" s="131">
        <f t="shared" si="40"/>
        <v>0</v>
      </c>
      <c r="E421" s="132">
        <f>SG_20_14</f>
        <v>0</v>
      </c>
    </row>
    <row r="422" spans="1:5" hidden="1">
      <c r="A422" s="133" t="str">
        <f>Planilha!$B$1695</f>
        <v>20.15</v>
      </c>
      <c r="B422" s="130" t="str">
        <f>Planilha!$C$1695</f>
        <v>Sub-Grupo 20.15</v>
      </c>
      <c r="C422" s="131">
        <f t="shared" si="39"/>
        <v>0</v>
      </c>
      <c r="D422" s="131">
        <f t="shared" si="40"/>
        <v>0</v>
      </c>
      <c r="E422" s="132">
        <f>SG_20_15</f>
        <v>0</v>
      </c>
    </row>
    <row r="423" spans="1:5" hidden="1">
      <c r="A423" s="133" t="str">
        <f>Planilha!$B$1699</f>
        <v>20.16</v>
      </c>
      <c r="B423" s="130" t="str">
        <f>Planilha!$C$1699</f>
        <v>Sub-Grupo 20.16</v>
      </c>
      <c r="C423" s="131">
        <f t="shared" si="39"/>
        <v>0</v>
      </c>
      <c r="D423" s="131">
        <f>IF(TOTAL_GERAL=0,0,ROUND(100*E423/TOTAL_GERAL,2))</f>
        <v>0</v>
      </c>
      <c r="E423" s="132">
        <f>SG_20_16</f>
        <v>0</v>
      </c>
    </row>
    <row r="424" spans="1:5" hidden="1">
      <c r="A424" s="133" t="str">
        <f>Planilha!$B$1703</f>
        <v>20.17</v>
      </c>
      <c r="B424" s="130" t="str">
        <f>Planilha!$C$1703</f>
        <v>Sub-Grupo 20.17</v>
      </c>
      <c r="C424" s="131">
        <f t="shared" si="39"/>
        <v>0</v>
      </c>
      <c r="D424" s="131">
        <f>IF(TOTAL_GERAL=0,0,ROUND(100*E424/TOTAL_GERAL,2))</f>
        <v>0</v>
      </c>
      <c r="E424" s="132">
        <f>SG_20_17</f>
        <v>0</v>
      </c>
    </row>
    <row r="425" spans="1:5" hidden="1">
      <c r="A425" s="133" t="str">
        <f>Planilha!$B$1707</f>
        <v>20.18</v>
      </c>
      <c r="B425" s="130" t="str">
        <f>Planilha!$C$1707</f>
        <v>Sub-Grupo 20.18</v>
      </c>
      <c r="C425" s="131">
        <f>IF(G_20=0,0,ROUND(100*E425/G_20,2))</f>
        <v>0</v>
      </c>
      <c r="D425" s="131">
        <f>IF(TOTAL_GERAL=0,0,ROUND(100*E425/TOTAL_GERAL,2))</f>
        <v>0</v>
      </c>
      <c r="E425" s="132">
        <f>SG_20_18</f>
        <v>0</v>
      </c>
    </row>
    <row r="426" spans="1:5" hidden="1">
      <c r="A426" s="133" t="str">
        <f>Planilha!$B$1711</f>
        <v>20.19</v>
      </c>
      <c r="B426" s="130" t="str">
        <f>Planilha!$C$1711</f>
        <v>Sub-Grupo 20.19</v>
      </c>
      <c r="C426" s="131">
        <f>IF(G_20=0,0,ROUND(100*E426/G_20,2))</f>
        <v>0</v>
      </c>
      <c r="D426" s="131">
        <f>IF(TOTAL_GERAL=0,0,ROUND(100*E426/TOTAL_GERAL,2))</f>
        <v>0</v>
      </c>
      <c r="E426" s="132">
        <f>SG_20_19</f>
        <v>0</v>
      </c>
    </row>
    <row r="427" spans="1:5" hidden="1">
      <c r="A427" s="133" t="str">
        <f>Planilha!$B$1715</f>
        <v>20.20</v>
      </c>
      <c r="B427" s="130" t="str">
        <f>Planilha!$C$1715</f>
        <v>Sub-Grupo 20.20</v>
      </c>
      <c r="C427" s="131">
        <f>IF(G_20=0,0,ROUND(100*E427/G_20,2))</f>
        <v>0</v>
      </c>
      <c r="D427" s="131">
        <f>IF(TOTAL_GERAL=0,0,ROUND(100*E427/TOTAL_GERAL,2))</f>
        <v>0</v>
      </c>
      <c r="E427" s="132">
        <f>SG_20_20</f>
        <v>0</v>
      </c>
    </row>
    <row r="428" spans="1:5" hidden="1">
      <c r="A428" s="132"/>
      <c r="B428" s="133"/>
      <c r="C428" s="126"/>
      <c r="D428" s="131"/>
      <c r="E428" s="132"/>
    </row>
    <row r="429" spans="1:5" s="114" customFormat="1" ht="18" customHeight="1">
      <c r="B429" s="50"/>
      <c r="C429" s="57"/>
      <c r="D429" s="115" t="s">
        <v>845</v>
      </c>
      <c r="E429" s="116">
        <f>TOTAL_GERAL</f>
        <v>2181250.4900000002</v>
      </c>
    </row>
    <row r="430" spans="1:5" ht="13.5" customHeight="1">
      <c r="E430" s="117" t="str">
        <f>[1]!Extenso(TOTAL_GERAL)</f>
        <v xml:space="preserve"> Dois Milhões, cento e oitenta e um mil, duzentos e cinquenta reais e quarenta e nove centavos</v>
      </c>
    </row>
  </sheetData>
  <mergeCells count="1">
    <mergeCell ref="A2:E2"/>
  </mergeCells>
  <phoneticPr fontId="0" type="noConversion"/>
  <printOptions horizontalCentered="1"/>
  <pageMargins left="0.39370078740157483" right="0.39370078740157483" top="0.39370078740157483" bottom="0.59055118110236227" header="0.39370078740157483" footer="0.39370078740157483"/>
  <pageSetup paperSize="9" orientation="landscape" horizontalDpi="300" verticalDpi="300" r:id="rId1"/>
  <headerFooter alignWithMargins="0">
    <oddFooter xml:space="preserve">&amp;L&amp;"Verdana,Normal"&amp;7ORÇAMENTO :&amp;C&amp;"Verdana,Normal"&amp;P&amp;R&amp;"Verdana,Normal"&amp;7&amp;F - &amp;A
RESP. PROJ.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B68"/>
  <sheetViews>
    <sheetView showGridLines="0" view="pageBreakPreview" zoomScaleNormal="100" zoomScaleSheetLayoutView="100" workbookViewId="0"/>
  </sheetViews>
  <sheetFormatPr defaultColWidth="11.42578125" defaultRowHeight="12.75"/>
  <cols>
    <col min="1" max="1" width="8.5703125" style="4" customWidth="1"/>
    <col min="2" max="2" width="44" style="4" customWidth="1"/>
    <col min="3" max="8" width="7.28515625" style="4" customWidth="1"/>
    <col min="9" max="26" width="7.28515625" style="4" hidden="1" customWidth="1"/>
    <col min="27" max="27" width="8.28515625" style="38" customWidth="1"/>
    <col min="28" max="28" width="13.42578125" style="4" customWidth="1"/>
    <col min="29" max="16384" width="11.42578125" style="4"/>
  </cols>
  <sheetData>
    <row r="1" spans="1:28" s="3" customFormat="1">
      <c r="A1" s="3" t="str">
        <f t="array" ref="A1:A3">Planilha!$A$1:$A$3</f>
        <v>DIRETORIA DE OPERAÇÕES - DDO</v>
      </c>
      <c r="AA1" s="37"/>
    </row>
    <row r="2" spans="1:28" s="3" customFormat="1">
      <c r="A2" s="3" t="str">
        <v>GERÊNCIA DE MELHORIA OPERACIONAL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COORDENADORIA DE PROJETOS, CUSTOS E ORÇAMENTO DE OPERAÇÕES</v>
      </c>
      <c r="AA2" s="37"/>
    </row>
    <row r="3" spans="1:28" s="3" customFormat="1">
      <c r="A3" s="3" t="str">
        <v>EXECUÇÃO DE SERVIÇOS TÉCNICOS DE APOIO NA EXPANSÃO DE SISTEMAS DE ÁGUA E ESGOTO DA UNBSC</v>
      </c>
      <c r="AA3" s="37"/>
    </row>
    <row r="4" spans="1:28" s="3" customFormat="1">
      <c r="AA4" s="37"/>
    </row>
    <row r="5" spans="1:28" s="3" customFormat="1" ht="15">
      <c r="A5" s="7" t="s">
        <v>850</v>
      </c>
      <c r="AA5" s="37"/>
      <c r="AB5" s="7"/>
    </row>
    <row r="7" spans="1:28" s="3" customFormat="1">
      <c r="A7" s="3" t="s">
        <v>4</v>
      </c>
      <c r="B7" s="3" t="s">
        <v>851</v>
      </c>
      <c r="C7" s="47">
        <v>30</v>
      </c>
      <c r="D7" s="47">
        <v>60</v>
      </c>
      <c r="E7" s="47">
        <v>90</v>
      </c>
      <c r="F7" s="47">
        <v>120</v>
      </c>
      <c r="G7" s="47">
        <v>150</v>
      </c>
      <c r="H7" s="47">
        <v>180</v>
      </c>
      <c r="I7" s="47">
        <v>210</v>
      </c>
      <c r="J7" s="47">
        <v>240</v>
      </c>
      <c r="K7" s="47">
        <v>270</v>
      </c>
      <c r="L7" s="47">
        <v>300</v>
      </c>
      <c r="M7" s="47">
        <v>330</v>
      </c>
      <c r="N7" s="47">
        <v>360</v>
      </c>
      <c r="O7" s="47">
        <v>390</v>
      </c>
      <c r="P7" s="47">
        <v>420</v>
      </c>
      <c r="Q7" s="47">
        <v>450</v>
      </c>
      <c r="R7" s="47">
        <v>480</v>
      </c>
      <c r="S7" s="47">
        <v>510</v>
      </c>
      <c r="T7" s="47">
        <v>540</v>
      </c>
      <c r="U7" s="47">
        <v>570</v>
      </c>
      <c r="V7" s="47">
        <v>600</v>
      </c>
      <c r="W7" s="47">
        <v>630</v>
      </c>
      <c r="X7" s="47">
        <v>660</v>
      </c>
      <c r="Y7" s="47">
        <v>690</v>
      </c>
      <c r="Z7" s="47">
        <v>720</v>
      </c>
      <c r="AA7" s="37"/>
      <c r="AB7" s="27"/>
    </row>
    <row r="8" spans="1:28" s="3" customFormat="1">
      <c r="AA8" s="37"/>
    </row>
    <row r="9" spans="1:28" s="5" customFormat="1" ht="20.100000000000001" customHeight="1">
      <c r="A9" s="8" t="str">
        <f>Planilha!$B$9</f>
        <v>01</v>
      </c>
      <c r="B9" s="6" t="str">
        <f>Planilha!$C$9</f>
        <v>SERVIÇOS DE EXPANSÃO - COMUM</v>
      </c>
      <c r="C9" s="34">
        <v>0.16600000000000001</v>
      </c>
      <c r="D9" s="34">
        <v>0.16600000000000001</v>
      </c>
      <c r="E9" s="34">
        <v>0.16600000000000001</v>
      </c>
      <c r="F9" s="34">
        <v>0.16600000000000001</v>
      </c>
      <c r="G9" s="34">
        <v>0.16600000000000001</v>
      </c>
      <c r="H9" s="34">
        <v>0.17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9">
        <f>SUM(C9:Z9)</f>
        <v>1</v>
      </c>
      <c r="AB9" s="45">
        <f>G_01</f>
        <v>326772.94999999995</v>
      </c>
    </row>
    <row r="10" spans="1:28" s="5" customFormat="1" ht="5.0999999999999996" customHeight="1">
      <c r="A10" s="9"/>
      <c r="B10" s="48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40"/>
      <c r="AB10" s="46"/>
    </row>
    <row r="11" spans="1:28" s="5" customFormat="1" ht="20.100000000000001" customHeight="1">
      <c r="A11" s="8" t="str">
        <f>Planilha!$B$109</f>
        <v>02</v>
      </c>
      <c r="B11" s="6" t="str">
        <f>Planilha!$C$109</f>
        <v>SERVIÇOS DE EXPANSÃO - ÁGUA</v>
      </c>
      <c r="C11" s="34">
        <v>0.16600000000000001</v>
      </c>
      <c r="D11" s="34">
        <v>0.16600000000000001</v>
      </c>
      <c r="E11" s="34">
        <v>0.16600000000000001</v>
      </c>
      <c r="F11" s="34">
        <v>0.16600000000000001</v>
      </c>
      <c r="G11" s="34">
        <v>0.16600000000000001</v>
      </c>
      <c r="H11" s="34">
        <v>0.17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9">
        <f>SUM(C11:Z11)</f>
        <v>1</v>
      </c>
      <c r="AB11" s="45">
        <f>G_02</f>
        <v>728741.82000000007</v>
      </c>
    </row>
    <row r="12" spans="1:28" s="5" customFormat="1" ht="5.0999999999999996" customHeight="1">
      <c r="A12" s="9"/>
      <c r="B12" s="48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40"/>
      <c r="AB12" s="46"/>
    </row>
    <row r="13" spans="1:28" s="5" customFormat="1" ht="20.100000000000001" customHeight="1">
      <c r="A13" s="8" t="str">
        <f>Planilha!$B$203</f>
        <v>03</v>
      </c>
      <c r="B13" s="6" t="str">
        <f>Planilha!$C$203</f>
        <v>SERVIÇOS DE EXPANSÃO - ESGOTO</v>
      </c>
      <c r="C13" s="34">
        <v>0.16600000000000001</v>
      </c>
      <c r="D13" s="34">
        <v>0.16600000000000001</v>
      </c>
      <c r="E13" s="34">
        <v>0.16600000000000001</v>
      </c>
      <c r="F13" s="34">
        <v>0.16600000000000001</v>
      </c>
      <c r="G13" s="34">
        <v>0.16600000000000001</v>
      </c>
      <c r="H13" s="34">
        <v>0.17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9">
        <f>SUM(C13:Z13)</f>
        <v>1</v>
      </c>
      <c r="AB13" s="45">
        <f>G_03</f>
        <v>878154.42999999993</v>
      </c>
    </row>
    <row r="14" spans="1:28" s="5" customFormat="1" ht="5.0999999999999996" customHeight="1">
      <c r="A14" s="9"/>
      <c r="B14" s="48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40"/>
      <c r="AB14" s="46"/>
    </row>
    <row r="15" spans="1:28" s="5" customFormat="1" ht="20.100000000000001" customHeight="1">
      <c r="A15" s="8" t="str">
        <f>Planilha!$B$314</f>
        <v>04</v>
      </c>
      <c r="B15" s="6" t="str">
        <f>Planilha!$C$314</f>
        <v>CANTEIRO DE OBRAS</v>
      </c>
      <c r="C15" s="34">
        <v>0.16600000000000001</v>
      </c>
      <c r="D15" s="34">
        <v>0.16600000000000001</v>
      </c>
      <c r="E15" s="34">
        <v>0.16600000000000001</v>
      </c>
      <c r="F15" s="34">
        <v>0.16600000000000001</v>
      </c>
      <c r="G15" s="34">
        <v>0.16600000000000001</v>
      </c>
      <c r="H15" s="34">
        <v>0.17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9">
        <f>SUM(C15:Z15)</f>
        <v>1</v>
      </c>
      <c r="AB15" s="45">
        <f>G_04</f>
        <v>104983.57</v>
      </c>
    </row>
    <row r="16" spans="1:28" s="5" customFormat="1" ht="5.0999999999999996" customHeight="1">
      <c r="A16" s="9"/>
      <c r="B16" s="4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40"/>
      <c r="AB16" s="46"/>
    </row>
    <row r="17" spans="1:28" s="5" customFormat="1" ht="20.100000000000001" customHeight="1">
      <c r="A17" s="8" t="str">
        <f>Planilha!$B$408</f>
        <v>05</v>
      </c>
      <c r="B17" s="6" t="str">
        <f>Planilha!$C$408</f>
        <v>ADMINISTRAÇÃO LOCAL</v>
      </c>
      <c r="C17" s="34">
        <v>0.16600000000000001</v>
      </c>
      <c r="D17" s="34">
        <v>0.16600000000000001</v>
      </c>
      <c r="E17" s="34">
        <v>0.16600000000000001</v>
      </c>
      <c r="F17" s="34">
        <v>0.16600000000000001</v>
      </c>
      <c r="G17" s="34">
        <v>0.16600000000000001</v>
      </c>
      <c r="H17" s="34">
        <v>0.17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9">
        <f>SUM(C17:Z17)</f>
        <v>1</v>
      </c>
      <c r="AB17" s="45">
        <f>G_05</f>
        <v>142597.72</v>
      </c>
    </row>
    <row r="18" spans="1:28" s="5" customFormat="1" ht="5.0999999999999996" customHeight="1">
      <c r="A18" s="9"/>
      <c r="B18" s="4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40"/>
      <c r="AB18" s="46"/>
    </row>
    <row r="19" spans="1:28" s="5" customFormat="1" ht="20.100000000000001" hidden="1" customHeight="1">
      <c r="A19" s="8" t="str">
        <f>Planilha!$B$490</f>
        <v>06</v>
      </c>
      <c r="B19" s="6" t="str">
        <f>Planilha!$C$490</f>
        <v>GRUPO 06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9">
        <f>SUM(C19:Z19)</f>
        <v>0</v>
      </c>
      <c r="AB19" s="45">
        <f>G_06</f>
        <v>0</v>
      </c>
    </row>
    <row r="20" spans="1:28" s="5" customFormat="1" ht="5.0999999999999996" hidden="1" customHeight="1">
      <c r="A20" s="9"/>
      <c r="B20" s="4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40"/>
      <c r="AB20" s="46"/>
    </row>
    <row r="21" spans="1:28" s="5" customFormat="1" ht="20.100000000000001" hidden="1" customHeight="1">
      <c r="A21" s="8" t="str">
        <f>Planilha!$B$572</f>
        <v>07</v>
      </c>
      <c r="B21" s="6" t="str">
        <f>Planilha!$C$572</f>
        <v>GRUPO 07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9">
        <f>SUM(C21:Z21)</f>
        <v>0</v>
      </c>
      <c r="AB21" s="45">
        <f>G_07</f>
        <v>0</v>
      </c>
    </row>
    <row r="22" spans="1:28" s="5" customFormat="1" ht="5.0999999999999996" hidden="1" customHeight="1">
      <c r="A22" s="9"/>
      <c r="B22" s="4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40"/>
      <c r="AB22" s="46"/>
    </row>
    <row r="23" spans="1:28" s="5" customFormat="1" ht="20.100000000000001" hidden="1" customHeight="1">
      <c r="A23" s="8" t="str">
        <f>Planilha!$B$654</f>
        <v>08</v>
      </c>
      <c r="B23" s="6" t="str">
        <f>Planilha!$C$654</f>
        <v>GRUPO 08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9">
        <f>SUM(C23:Z23)</f>
        <v>0</v>
      </c>
      <c r="AB23" s="45">
        <f>G_08</f>
        <v>0</v>
      </c>
    </row>
    <row r="24" spans="1:28" s="5" customFormat="1" ht="5.0999999999999996" hidden="1" customHeight="1">
      <c r="A24" s="9"/>
      <c r="B24" s="4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40"/>
      <c r="AB24" s="46"/>
    </row>
    <row r="25" spans="1:28" s="5" customFormat="1" ht="20.100000000000001" hidden="1" customHeight="1">
      <c r="A25" s="8" t="str">
        <f>Planilha!$B$736</f>
        <v>09</v>
      </c>
      <c r="B25" s="6" t="str">
        <f>Planilha!$C$736</f>
        <v>GRUPO 09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9">
        <f>SUM(C25:Z25)</f>
        <v>0</v>
      </c>
      <c r="AB25" s="45">
        <f>G_09</f>
        <v>0</v>
      </c>
    </row>
    <row r="26" spans="1:28" s="5" customFormat="1" ht="5.0999999999999996" hidden="1" customHeight="1">
      <c r="A26" s="9"/>
      <c r="B26" s="4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40"/>
      <c r="AB26" s="46"/>
    </row>
    <row r="27" spans="1:28" s="5" customFormat="1" ht="20.100000000000001" hidden="1" customHeight="1">
      <c r="A27" s="8" t="str">
        <f>Planilha!$B$818</f>
        <v>10</v>
      </c>
      <c r="B27" s="6" t="str">
        <f>Planilha!$C$818</f>
        <v>GRUPO 10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9">
        <f>SUM(C27:Z27)</f>
        <v>0</v>
      </c>
      <c r="AB27" s="45">
        <f>G_10</f>
        <v>0</v>
      </c>
    </row>
    <row r="28" spans="1:28" s="5" customFormat="1" ht="5.0999999999999996" hidden="1" customHeight="1">
      <c r="A28" s="9"/>
      <c r="B28" s="48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40"/>
      <c r="AB28" s="46"/>
    </row>
    <row r="29" spans="1:28" s="5" customFormat="1" ht="20.100000000000001" hidden="1" customHeight="1">
      <c r="A29" s="8" t="str">
        <f>Planilha!$B$900</f>
        <v>11</v>
      </c>
      <c r="B29" s="6" t="str">
        <f>Planilha!$C$900</f>
        <v>GRUPO 11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9">
        <f>SUM(C29:Z29)</f>
        <v>0</v>
      </c>
      <c r="AB29" s="45">
        <f>G_11</f>
        <v>0</v>
      </c>
    </row>
    <row r="30" spans="1:28" s="5" customFormat="1" ht="5.0999999999999996" hidden="1" customHeight="1">
      <c r="A30" s="9"/>
      <c r="B30" s="48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40"/>
      <c r="AB30" s="46"/>
    </row>
    <row r="31" spans="1:28" s="5" customFormat="1" ht="20.100000000000001" hidden="1" customHeight="1">
      <c r="A31" s="8" t="str">
        <f>Planilha!$B$982</f>
        <v>12</v>
      </c>
      <c r="B31" s="6" t="str">
        <f>Planilha!$C$982</f>
        <v>GRUPO 12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9">
        <f>SUM(C31:Z31)</f>
        <v>0</v>
      </c>
      <c r="AB31" s="45">
        <f>G_12</f>
        <v>0</v>
      </c>
    </row>
    <row r="32" spans="1:28" s="5" customFormat="1" ht="5.0999999999999996" hidden="1" customHeight="1">
      <c r="A32" s="9"/>
      <c r="B32" s="4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40"/>
      <c r="AB32" s="46"/>
    </row>
    <row r="33" spans="1:28" s="5" customFormat="1" ht="20.100000000000001" hidden="1" customHeight="1">
      <c r="A33" s="8" t="str">
        <f>Planilha!$B$1064</f>
        <v>13</v>
      </c>
      <c r="B33" s="6" t="str">
        <f>Planilha!$C$1064</f>
        <v>GRUPO 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9">
        <f>SUM(C33:Z33)</f>
        <v>0</v>
      </c>
      <c r="AB33" s="45">
        <f>G_13</f>
        <v>0</v>
      </c>
    </row>
    <row r="34" spans="1:28" s="5" customFormat="1" ht="5.0999999999999996" hidden="1" customHeight="1">
      <c r="A34" s="9"/>
      <c r="B34" s="48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40"/>
      <c r="AB34" s="46"/>
    </row>
    <row r="35" spans="1:28" s="5" customFormat="1" ht="20.100000000000001" hidden="1" customHeight="1">
      <c r="A35" s="8" t="str">
        <f>Planilha!$B$1146</f>
        <v>14</v>
      </c>
      <c r="B35" s="6" t="str">
        <f>Planilha!$C$1146</f>
        <v>GRUPO 14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9">
        <f>SUM(C35:Z35)</f>
        <v>0</v>
      </c>
      <c r="AB35" s="45">
        <f>G_14</f>
        <v>0</v>
      </c>
    </row>
    <row r="36" spans="1:28" s="5" customFormat="1" ht="5.0999999999999996" hidden="1" customHeight="1">
      <c r="A36" s="9"/>
      <c r="B36" s="48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40"/>
      <c r="AB36" s="46"/>
    </row>
    <row r="37" spans="1:28" s="5" customFormat="1" ht="20.100000000000001" hidden="1" customHeight="1">
      <c r="A37" s="8" t="str">
        <f>Planilha!$B$1228</f>
        <v>15</v>
      </c>
      <c r="B37" s="6" t="str">
        <f>Planilha!$C$1228</f>
        <v>GRUPO 15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9">
        <f>SUM(C37:Z37)</f>
        <v>0</v>
      </c>
      <c r="AB37" s="45">
        <f>G_15</f>
        <v>0</v>
      </c>
    </row>
    <row r="38" spans="1:28" s="5" customFormat="1" ht="5.0999999999999996" hidden="1" customHeight="1">
      <c r="A38" s="9"/>
      <c r="B38" s="48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40"/>
      <c r="AB38" s="46"/>
    </row>
    <row r="39" spans="1:28" s="5" customFormat="1" ht="20.100000000000001" hidden="1" customHeight="1">
      <c r="A39" s="8" t="str">
        <f>Planilha!$B$1310</f>
        <v>16</v>
      </c>
      <c r="B39" s="6" t="str">
        <f>Planilha!$C$1310</f>
        <v>GRUPO 16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9">
        <f>SUM(C39:Z39)</f>
        <v>0</v>
      </c>
      <c r="AB39" s="45">
        <f>G_16</f>
        <v>0</v>
      </c>
    </row>
    <row r="40" spans="1:28" s="5" customFormat="1" ht="5.0999999999999996" hidden="1" customHeight="1">
      <c r="A40" s="9"/>
      <c r="B40" s="48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0"/>
      <c r="AB40" s="46"/>
    </row>
    <row r="41" spans="1:28" s="5" customFormat="1" ht="20.100000000000001" hidden="1" customHeight="1">
      <c r="A41" s="8" t="str">
        <f>Planilha!$B$1392</f>
        <v>17</v>
      </c>
      <c r="B41" s="6" t="str">
        <f>Planilha!$C$1392</f>
        <v>GRUPO 17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9">
        <f>SUM(C41:Z41)</f>
        <v>0</v>
      </c>
      <c r="AB41" s="45">
        <f>G_17</f>
        <v>0</v>
      </c>
    </row>
    <row r="42" spans="1:28" s="5" customFormat="1" ht="5.0999999999999996" hidden="1" customHeight="1">
      <c r="A42" s="9"/>
      <c r="B42" s="48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40"/>
      <c r="AB42" s="46"/>
    </row>
    <row r="43" spans="1:28" s="5" customFormat="1" ht="20.100000000000001" hidden="1" customHeight="1">
      <c r="A43" s="8" t="str">
        <f>Planilha!$B$1474</f>
        <v>18</v>
      </c>
      <c r="B43" s="6" t="str">
        <f>Planilha!$C$1474</f>
        <v>GRUPO 18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9">
        <f>SUM(C43:Z43)</f>
        <v>0</v>
      </c>
      <c r="AB43" s="45">
        <f>G_18</f>
        <v>0</v>
      </c>
    </row>
    <row r="44" spans="1:28" s="5" customFormat="1" ht="5.0999999999999996" hidden="1" customHeight="1">
      <c r="A44" s="9"/>
      <c r="B44" s="4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40"/>
      <c r="AB44" s="46"/>
    </row>
    <row r="45" spans="1:28" s="5" customFormat="1" ht="20.100000000000001" hidden="1" customHeight="1">
      <c r="A45" s="8" t="str">
        <f>Planilha!$B$1556</f>
        <v>19</v>
      </c>
      <c r="B45" s="6" t="str">
        <f>Planilha!$C$1556</f>
        <v>GRUPO 19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9">
        <f>SUM(C45:Z45)</f>
        <v>0</v>
      </c>
      <c r="AB45" s="45">
        <f>G_19</f>
        <v>0</v>
      </c>
    </row>
    <row r="46" spans="1:28" s="5" customFormat="1" ht="5.0999999999999996" hidden="1" customHeight="1">
      <c r="A46" s="9"/>
      <c r="B46" s="48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40"/>
      <c r="AB46" s="46"/>
    </row>
    <row r="47" spans="1:28" s="5" customFormat="1" ht="20.100000000000001" hidden="1" customHeight="1">
      <c r="A47" s="8" t="str">
        <f>Planilha!$B$1638</f>
        <v>20</v>
      </c>
      <c r="B47" s="6" t="str">
        <f>Planilha!$C$1638</f>
        <v>GRUPO 20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9">
        <f>SUM(C47:Z47)</f>
        <v>0</v>
      </c>
      <c r="AB47" s="45">
        <f>G_20</f>
        <v>0</v>
      </c>
    </row>
    <row r="48" spans="1:28" s="5" customFormat="1" ht="5.0999999999999996" hidden="1" customHeight="1">
      <c r="A48" s="9"/>
      <c r="B48" s="48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40"/>
      <c r="AB48" s="46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</sheetData>
  <phoneticPr fontId="0" type="noConversion"/>
  <printOptions horizontalCentered="1"/>
  <pageMargins left="0.39370078740157483" right="0.39370078740157483" top="0.59055118110236227" bottom="0.59055118110236227" header="0.39370078740157483" footer="0.39370078740157483"/>
  <pageSetup paperSize="9" orientation="landscape" horizontalDpi="300" verticalDpi="300" r:id="rId1"/>
  <headerFooter alignWithMargins="0">
    <oddFooter>&amp;L&amp;"Eterna,Italic"&amp;7Departamento de Custos e Obras
Divisão de Custos e Orçamenntos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D3362"/>
  <sheetViews>
    <sheetView showGridLines="0" view="pageBreakPreview" zoomScaleNormal="100" zoomScaleSheetLayoutView="100" workbookViewId="0"/>
  </sheetViews>
  <sheetFormatPr defaultColWidth="11.42578125" defaultRowHeight="12.75"/>
  <cols>
    <col min="1" max="1" width="8.5703125" style="10" customWidth="1"/>
    <col min="2" max="2" width="48.140625" style="10" customWidth="1"/>
    <col min="3" max="8" width="14.7109375" style="10" customWidth="1"/>
    <col min="9" max="26" width="14.7109375" style="10" hidden="1" customWidth="1"/>
    <col min="27" max="27" width="11.42578125" style="10" customWidth="1"/>
    <col min="28" max="28" width="13.140625" style="15" customWidth="1"/>
    <col min="29" max="29" width="13.140625" style="14" customWidth="1"/>
    <col min="30" max="16384" width="11.42578125" style="10"/>
  </cols>
  <sheetData>
    <row r="1" spans="1:30" s="3" customFormat="1" ht="13.5" customHeight="1">
      <c r="A1" s="3" t="str">
        <f t="array" ref="A1:A3">Planilha!$A$1:$A$3</f>
        <v>DIRETORIA DE OPERAÇÕES - DDO</v>
      </c>
      <c r="AB1" s="11"/>
      <c r="AC1" s="11"/>
    </row>
    <row r="2" spans="1:30" s="3" customFormat="1" ht="13.5" customHeight="1">
      <c r="A2" s="3" t="str">
        <v>GERÊNCIA DE MELHORIA OPERACIONAL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COORDENADORIA DE PROJETOS, CUSTOS E ORÇAMENTO DE OPERAÇÕES</v>
      </c>
      <c r="AB2" s="11"/>
      <c r="AC2" s="11"/>
    </row>
    <row r="3" spans="1:30" s="3" customFormat="1" ht="13.5" customHeight="1">
      <c r="A3" s="3" t="str">
        <v>EXECUÇÃO DE SERVIÇOS TÉCNICOS DE APOIO NA EXPANSÃO DE SISTEMAS DE ÁGUA E ESGOTO DA UNBSC</v>
      </c>
      <c r="AB3" s="11"/>
      <c r="AC3" s="11"/>
    </row>
    <row r="4" spans="1:30" ht="13.5" customHeight="1">
      <c r="AB4" s="13"/>
      <c r="AC4" s="13"/>
    </row>
    <row r="5" spans="1:30" s="7" customFormat="1" ht="18" customHeight="1">
      <c r="A5" s="7" t="s">
        <v>852</v>
      </c>
      <c r="AB5" s="12"/>
      <c r="AC5" s="12"/>
    </row>
    <row r="6" spans="1:30" ht="13.5" customHeight="1">
      <c r="AA6" s="18" t="s">
        <v>853</v>
      </c>
      <c r="AB6" s="18"/>
      <c r="AC6" s="18"/>
    </row>
    <row r="7" spans="1:30" s="3" customFormat="1" ht="18" customHeight="1" thickBot="1">
      <c r="A7" s="27" t="s">
        <v>4</v>
      </c>
      <c r="B7" s="27" t="s">
        <v>851</v>
      </c>
      <c r="C7" s="27">
        <v>30</v>
      </c>
      <c r="D7" s="27">
        <v>60</v>
      </c>
      <c r="E7" s="27">
        <v>90</v>
      </c>
      <c r="F7" s="27">
        <v>120</v>
      </c>
      <c r="G7" s="27">
        <v>150</v>
      </c>
      <c r="H7" s="27">
        <v>180</v>
      </c>
      <c r="I7" s="27">
        <v>210</v>
      </c>
      <c r="J7" s="27">
        <v>240</v>
      </c>
      <c r="K7" s="27">
        <v>270</v>
      </c>
      <c r="L7" s="27">
        <v>300</v>
      </c>
      <c r="M7" s="27">
        <v>330</v>
      </c>
      <c r="N7" s="27">
        <v>360</v>
      </c>
      <c r="O7" s="27">
        <v>390</v>
      </c>
      <c r="P7" s="27">
        <v>420</v>
      </c>
      <c r="Q7" s="27">
        <v>450</v>
      </c>
      <c r="R7" s="27">
        <v>480</v>
      </c>
      <c r="S7" s="27">
        <v>510</v>
      </c>
      <c r="T7" s="27">
        <v>540</v>
      </c>
      <c r="U7" s="27">
        <v>570</v>
      </c>
      <c r="V7" s="27">
        <v>600</v>
      </c>
      <c r="W7" s="27">
        <v>630</v>
      </c>
      <c r="X7" s="27">
        <v>660</v>
      </c>
      <c r="Y7" s="27">
        <v>690</v>
      </c>
      <c r="Z7" s="27">
        <v>720</v>
      </c>
      <c r="AA7" s="19" t="s">
        <v>854</v>
      </c>
      <c r="AB7" s="20" t="s">
        <v>855</v>
      </c>
      <c r="AC7" s="44" t="s">
        <v>856</v>
      </c>
    </row>
    <row r="8" spans="1:30" s="4" customFormat="1" ht="18" customHeight="1">
      <c r="A8" s="21" t="str">
        <f>Planilha!$B$9</f>
        <v>01</v>
      </c>
      <c r="B8" s="22" t="str">
        <f>Planilha!$C$9</f>
        <v>SERVIÇOS DE EXPANSÃO - COMUM</v>
      </c>
      <c r="C8" s="2">
        <f>ROUND(F_01_30*G_01,2)</f>
        <v>54244.31</v>
      </c>
      <c r="D8" s="2">
        <f>ROUND(F_01_60*G_01,2)</f>
        <v>54244.31</v>
      </c>
      <c r="E8" s="2">
        <f>ROUND(F_01_90*G_01,2)</f>
        <v>54244.31</v>
      </c>
      <c r="F8" s="2">
        <f>ROUND(F_01_120*G_01,2)</f>
        <v>54244.31</v>
      </c>
      <c r="G8" s="2">
        <f>ROUND(F_01_150*G_01,2)</f>
        <v>54244.31</v>
      </c>
      <c r="H8" s="2">
        <f>ROUND(F_01_180*G_01,2)</f>
        <v>55551.4</v>
      </c>
      <c r="I8" s="2">
        <f>ROUND(F_01_210*G_01,2)</f>
        <v>0</v>
      </c>
      <c r="J8" s="2">
        <f>ROUND(F_01_240*G_01,2)</f>
        <v>0</v>
      </c>
      <c r="K8" s="2">
        <f>ROUND(F_01_270*G_01,2)</f>
        <v>0</v>
      </c>
      <c r="L8" s="2">
        <f>ROUND(F_01_300*G_01,2)</f>
        <v>0</v>
      </c>
      <c r="M8" s="2">
        <f>ROUND(F_01_330*G_01,2)</f>
        <v>0</v>
      </c>
      <c r="N8" s="2">
        <f>ROUND(F_01_360*G_01,2)</f>
        <v>0</v>
      </c>
      <c r="O8" s="2">
        <f>ROUND(F_01_390*G_01,2)</f>
        <v>0</v>
      </c>
      <c r="P8" s="2">
        <f>ROUND(F_01_420*G_01,2)</f>
        <v>0</v>
      </c>
      <c r="Q8" s="2">
        <f>ROUND(F_01_450*G_01,2)</f>
        <v>0</v>
      </c>
      <c r="R8" s="2">
        <f>ROUND(F_01_480*G_01,2)</f>
        <v>0</v>
      </c>
      <c r="S8" s="2">
        <f>ROUND(F_01_510*G_01,2)</f>
        <v>0</v>
      </c>
      <c r="T8" s="2">
        <f>ROUND(F_01_540*G_01,2)</f>
        <v>0</v>
      </c>
      <c r="U8" s="2">
        <f>ROUND(F_01_570*G_01,2)</f>
        <v>0</v>
      </c>
      <c r="V8" s="2">
        <f>ROUND(F_01_600*G_01,2)</f>
        <v>0</v>
      </c>
      <c r="W8" s="2">
        <f>ROUND(F_01_630*G_01,2)</f>
        <v>0</v>
      </c>
      <c r="X8" s="2">
        <f>ROUND(F_01_660*G_01,2)</f>
        <v>0</v>
      </c>
      <c r="Y8" s="2">
        <f>ROUND(F_01_690*G_01,2)</f>
        <v>0</v>
      </c>
      <c r="Z8" s="2">
        <f>ROUND(F_01_720*G_01,2)</f>
        <v>0</v>
      </c>
      <c r="AA8" s="41">
        <f t="shared" ref="AA8:AA22" si="0">IF((Y8-Z8)&gt;ABS(0.01),"CUIDADO",0)</f>
        <v>0</v>
      </c>
      <c r="AB8" s="42">
        <f>SUM(C8:H8)</f>
        <v>326772.95</v>
      </c>
      <c r="AC8" s="43">
        <f>G_01</f>
        <v>326772.94999999995</v>
      </c>
      <c r="AD8" s="153">
        <f>AC8-AB8</f>
        <v>0</v>
      </c>
    </row>
    <row r="9" spans="1:30" s="4" customFormat="1" ht="18" customHeight="1">
      <c r="A9" s="21" t="str">
        <f>Planilha!$B$109</f>
        <v>02</v>
      </c>
      <c r="B9" s="22" t="str">
        <f>Planilha!$C$109</f>
        <v>SERVIÇOS DE EXPANSÃO - ÁGUA</v>
      </c>
      <c r="C9" s="2">
        <f>ROUND(F_02_30*G_02,2)</f>
        <v>120971.14</v>
      </c>
      <c r="D9" s="2">
        <f>ROUND(F_02_60*G_02,2)</f>
        <v>120971.14</v>
      </c>
      <c r="E9" s="2">
        <f>ROUND(F_02_90*G_02,2)</f>
        <v>120971.14</v>
      </c>
      <c r="F9" s="2">
        <f>ROUND(F_02_120*G_02,2)</f>
        <v>120971.14</v>
      </c>
      <c r="G9" s="2">
        <f>ROUND(F_02_150*G_02,2)</f>
        <v>120971.14</v>
      </c>
      <c r="H9" s="2">
        <f>ROUND(F_02_180*G_02,2)+0.01</f>
        <v>123886.12</v>
      </c>
      <c r="I9" s="2">
        <f>ROUND(F_02_210*G_02,2)</f>
        <v>0</v>
      </c>
      <c r="J9" s="2">
        <f>ROUND(F_02_240*G_02,2)</f>
        <v>0</v>
      </c>
      <c r="K9" s="2">
        <f>ROUND(F_02_270*G_02,2)</f>
        <v>0</v>
      </c>
      <c r="L9" s="2">
        <f>ROUND(F_02_300*G_02,2)</f>
        <v>0</v>
      </c>
      <c r="M9" s="2">
        <f>ROUND(F_02_330*G_02,2)</f>
        <v>0</v>
      </c>
      <c r="N9" s="2">
        <f>ROUND(F_02_360*G_02,2)</f>
        <v>0</v>
      </c>
      <c r="O9" s="2">
        <f>ROUND(F_02_390*G_02,2)</f>
        <v>0</v>
      </c>
      <c r="P9" s="2">
        <f>ROUND(F_02_420*G_02,2)</f>
        <v>0</v>
      </c>
      <c r="Q9" s="2">
        <f>ROUND(F_02_450*G_02,2)</f>
        <v>0</v>
      </c>
      <c r="R9" s="2">
        <f>ROUND(F_02_480*G_02,2)</f>
        <v>0</v>
      </c>
      <c r="S9" s="2">
        <f>ROUND(F_02_510*G_02,2)</f>
        <v>0</v>
      </c>
      <c r="T9" s="2">
        <f>ROUND(F_02_540*G_02,2)</f>
        <v>0</v>
      </c>
      <c r="U9" s="2">
        <f>ROUND(F_02_570*G_02,2)</f>
        <v>0</v>
      </c>
      <c r="V9" s="2">
        <f>ROUND(F_02_600*G_02,2)</f>
        <v>0</v>
      </c>
      <c r="W9" s="2">
        <f>ROUND(F_02_630*G_02,2)</f>
        <v>0</v>
      </c>
      <c r="X9" s="2">
        <f>ROUND(F_02_660*G_02,2)</f>
        <v>0</v>
      </c>
      <c r="Y9" s="2">
        <f>ROUND(F_02_690*G_02,2)</f>
        <v>0</v>
      </c>
      <c r="Z9" s="2">
        <f>ROUND(F_02_720*G_02,2)</f>
        <v>0</v>
      </c>
      <c r="AA9" s="41">
        <f t="shared" si="0"/>
        <v>0</v>
      </c>
      <c r="AB9" s="42">
        <f>SUM(C9:H9)</f>
        <v>728741.82</v>
      </c>
      <c r="AC9" s="43">
        <f>G_02</f>
        <v>728741.82000000007</v>
      </c>
      <c r="AD9" s="153">
        <f t="shared" ref="AD9:AD12" si="1">AC9-AB9</f>
        <v>0</v>
      </c>
    </row>
    <row r="10" spans="1:30" s="4" customFormat="1" ht="18" customHeight="1">
      <c r="A10" s="21" t="str">
        <f>Planilha!$B$203</f>
        <v>03</v>
      </c>
      <c r="B10" s="22" t="str">
        <f>Planilha!$C$203</f>
        <v>SERVIÇOS DE EXPANSÃO - ESGOTO</v>
      </c>
      <c r="C10" s="2">
        <f>ROUND(F_03_30*G_03,2)</f>
        <v>145773.64000000001</v>
      </c>
      <c r="D10" s="2">
        <f>ROUND(F_03_60*G_03,2)</f>
        <v>145773.64000000001</v>
      </c>
      <c r="E10" s="2">
        <f>ROUND(F_03_90*G_03,2)</f>
        <v>145773.64000000001</v>
      </c>
      <c r="F10" s="2">
        <f>ROUND(F_03_120*G_03,2)</f>
        <v>145773.64000000001</v>
      </c>
      <c r="G10" s="2">
        <f>ROUND(F_03_150*G_03,2)</f>
        <v>145773.64000000001</v>
      </c>
      <c r="H10" s="2">
        <f>ROUND(F_03_180*G_03,2)-0.02</f>
        <v>149286.23000000001</v>
      </c>
      <c r="I10" s="2">
        <f>ROUND(F_03_210*G_03,2)</f>
        <v>0</v>
      </c>
      <c r="J10" s="2">
        <f>ROUND(F_03_240*G_03,2)</f>
        <v>0</v>
      </c>
      <c r="K10" s="2">
        <f>ROUND(F_03_270*G_03,2)</f>
        <v>0</v>
      </c>
      <c r="L10" s="2">
        <f>ROUND(F_03_300*G_03,2)</f>
        <v>0</v>
      </c>
      <c r="M10" s="2">
        <f>ROUND(F_03_330*G_03,2)</f>
        <v>0</v>
      </c>
      <c r="N10" s="2">
        <f>ROUND(F_03_360*G_03,2)</f>
        <v>0</v>
      </c>
      <c r="O10" s="2">
        <f>ROUND(F_03_390*G_03,2)</f>
        <v>0</v>
      </c>
      <c r="P10" s="2">
        <f>ROUND(F_03_420*G_03,2)</f>
        <v>0</v>
      </c>
      <c r="Q10" s="2">
        <f>ROUND(F_03_450*G_03,2)</f>
        <v>0</v>
      </c>
      <c r="R10" s="2">
        <f>ROUND(F_03_480*G_03,2)</f>
        <v>0</v>
      </c>
      <c r="S10" s="2">
        <f>ROUND(F_03_510*G_03,2)</f>
        <v>0</v>
      </c>
      <c r="T10" s="2">
        <f>ROUND(F_03_540*G_03,2)</f>
        <v>0</v>
      </c>
      <c r="U10" s="2">
        <f>ROUND(F_03_570*G_03,2)</f>
        <v>0</v>
      </c>
      <c r="V10" s="2">
        <f>ROUND(F_03_600*G_03,2)</f>
        <v>0</v>
      </c>
      <c r="W10" s="2">
        <f>ROUND(F_03_630*G_03,2)</f>
        <v>0</v>
      </c>
      <c r="X10" s="2">
        <f>ROUND(F_03_660*G_03,2)</f>
        <v>0</v>
      </c>
      <c r="Y10" s="2">
        <f>ROUND(F_03_690*G_03,2)</f>
        <v>0</v>
      </c>
      <c r="Z10" s="2">
        <f>ROUND(F_03_720*G_03,2)</f>
        <v>0</v>
      </c>
      <c r="AA10" s="41">
        <f t="shared" si="0"/>
        <v>0</v>
      </c>
      <c r="AB10" s="42">
        <f>SUM(C10:H10)</f>
        <v>878154.43</v>
      </c>
      <c r="AC10" s="43">
        <f>G_03</f>
        <v>878154.42999999993</v>
      </c>
      <c r="AD10" s="153">
        <f t="shared" si="1"/>
        <v>0</v>
      </c>
    </row>
    <row r="11" spans="1:30" s="4" customFormat="1" ht="18" customHeight="1">
      <c r="A11" s="21" t="str">
        <f>Planilha!$B$314</f>
        <v>04</v>
      </c>
      <c r="B11" s="22" t="str">
        <f>Planilha!$C$314</f>
        <v>CANTEIRO DE OBRAS</v>
      </c>
      <c r="C11" s="2">
        <f>ROUND(F_04_30*G_04,2)</f>
        <v>17427.27</v>
      </c>
      <c r="D11" s="2">
        <f>ROUND(F_04_60*G_04,2)</f>
        <v>17427.27</v>
      </c>
      <c r="E11" s="2">
        <f>ROUND(F_04_90*G_04,2)</f>
        <v>17427.27</v>
      </c>
      <c r="F11" s="2">
        <f>ROUND(F_04_120*G_04,2)</f>
        <v>17427.27</v>
      </c>
      <c r="G11" s="2">
        <f>ROUND(F_04_150*G_04,2)</f>
        <v>17427.27</v>
      </c>
      <c r="H11" s="2">
        <f>ROUND(F_04_180*G_04,2)+0.01</f>
        <v>17847.219999999998</v>
      </c>
      <c r="I11" s="2">
        <f>ROUND(F_04_210*G_04,2)</f>
        <v>0</v>
      </c>
      <c r="J11" s="2">
        <f>ROUND(F_04_240*G_04,2)</f>
        <v>0</v>
      </c>
      <c r="K11" s="2">
        <f>ROUND(F_04_270*G_04,2)</f>
        <v>0</v>
      </c>
      <c r="L11" s="2">
        <f>ROUND(F_04_300*G_04,2)</f>
        <v>0</v>
      </c>
      <c r="M11" s="2">
        <f>ROUND(F_04_330*G_04,2)</f>
        <v>0</v>
      </c>
      <c r="N11" s="2">
        <f>ROUND(F_04_360*G_04,2)</f>
        <v>0</v>
      </c>
      <c r="O11" s="2">
        <f>ROUND(F_04_390*G_04,2)</f>
        <v>0</v>
      </c>
      <c r="P11" s="2">
        <f>ROUND(F_04_420*G_04,2)</f>
        <v>0</v>
      </c>
      <c r="Q11" s="2">
        <f>ROUND(F_04_450*G_04,2)</f>
        <v>0</v>
      </c>
      <c r="R11" s="2">
        <f>ROUND(F_04_480*G_04,2)</f>
        <v>0</v>
      </c>
      <c r="S11" s="2">
        <f>ROUND(F_04_510*G_04,2)</f>
        <v>0</v>
      </c>
      <c r="T11" s="2">
        <f>ROUND(F_04_540*G_04,2)</f>
        <v>0</v>
      </c>
      <c r="U11" s="2">
        <f>ROUND(F_04_570*G_04,2)</f>
        <v>0</v>
      </c>
      <c r="V11" s="2">
        <f>ROUND(F_04_600*G_04,2)</f>
        <v>0</v>
      </c>
      <c r="W11" s="2">
        <f>ROUND(F_04_630*G_04,2)</f>
        <v>0</v>
      </c>
      <c r="X11" s="2">
        <f>ROUND(F_04_660*G_04,2)</f>
        <v>0</v>
      </c>
      <c r="Y11" s="2">
        <f>ROUND(F_04_690*G_04,2)</f>
        <v>0</v>
      </c>
      <c r="Z11" s="2">
        <f>ROUND(F_04_720*G_04,2)</f>
        <v>0</v>
      </c>
      <c r="AA11" s="41">
        <f t="shared" si="0"/>
        <v>0</v>
      </c>
      <c r="AB11" s="42">
        <f>SUM(C11:H11)</f>
        <v>104983.57</v>
      </c>
      <c r="AC11" s="43">
        <f>G_04</f>
        <v>104983.57</v>
      </c>
      <c r="AD11" s="153">
        <f t="shared" si="1"/>
        <v>0</v>
      </c>
    </row>
    <row r="12" spans="1:30" s="4" customFormat="1" ht="18" customHeight="1">
      <c r="A12" s="21" t="str">
        <f>Planilha!$B$408</f>
        <v>05</v>
      </c>
      <c r="B12" s="22" t="str">
        <f>Planilha!$C$408</f>
        <v>ADMINISTRAÇÃO LOCAL</v>
      </c>
      <c r="C12" s="2">
        <f>ROUND(F_05_30*G_05,2)</f>
        <v>23671.22</v>
      </c>
      <c r="D12" s="2">
        <f>ROUND(F_05_60*G_05,2)</f>
        <v>23671.22</v>
      </c>
      <c r="E12" s="2">
        <f>ROUND(F_05_90*G_05,2)</f>
        <v>23671.22</v>
      </c>
      <c r="F12" s="2">
        <f>ROUND(F_05_120*G_05,2)</f>
        <v>23671.22</v>
      </c>
      <c r="G12" s="2">
        <f>ROUND(F_05_150*G_05,2)</f>
        <v>23671.22</v>
      </c>
      <c r="H12" s="2">
        <f>ROUND(F_05_180*G_05,2)+0.01</f>
        <v>24241.62</v>
      </c>
      <c r="I12" s="2">
        <f>ROUND(F_05_210*G_05,2)</f>
        <v>0</v>
      </c>
      <c r="J12" s="2">
        <f>ROUND(F_05_240*G_05,2)</f>
        <v>0</v>
      </c>
      <c r="K12" s="2">
        <f>ROUND(F_05_270*G_05,2)</f>
        <v>0</v>
      </c>
      <c r="L12" s="2">
        <f>ROUND(F_05_300*G_05,2)</f>
        <v>0</v>
      </c>
      <c r="M12" s="2">
        <f>ROUND(F_05_330*G_05,2)</f>
        <v>0</v>
      </c>
      <c r="N12" s="2">
        <f>ROUND(F_05_360*G_05,2)</f>
        <v>0</v>
      </c>
      <c r="O12" s="2">
        <f>ROUND(F_05_390*G_05,2)</f>
        <v>0</v>
      </c>
      <c r="P12" s="2">
        <f>ROUND(F_05_420*G_05,2)</f>
        <v>0</v>
      </c>
      <c r="Q12" s="2">
        <f>ROUND(F_05_450*G_05,2)</f>
        <v>0</v>
      </c>
      <c r="R12" s="2">
        <f>ROUND(F_05_480*G_05,2)</f>
        <v>0</v>
      </c>
      <c r="S12" s="2">
        <f>ROUND(F_05_510*G_05,2)</f>
        <v>0</v>
      </c>
      <c r="T12" s="2">
        <f>ROUND(F_05_540*G_05,2)</f>
        <v>0</v>
      </c>
      <c r="U12" s="2">
        <f>ROUND(F_05_570*G_05,2)</f>
        <v>0</v>
      </c>
      <c r="V12" s="2">
        <f>ROUND(F_05_600*G_05,2)</f>
        <v>0</v>
      </c>
      <c r="W12" s="2">
        <f>ROUND(F_05_630*G_05,2)</f>
        <v>0</v>
      </c>
      <c r="X12" s="2">
        <f>ROUND(F_05_660*G_05,2)</f>
        <v>0</v>
      </c>
      <c r="Y12" s="2">
        <f>ROUND(F_05_690*G_05,2)</f>
        <v>0</v>
      </c>
      <c r="Z12" s="2">
        <f>ROUND(F_05_720*G_05,2)</f>
        <v>0</v>
      </c>
      <c r="AA12" s="41">
        <f t="shared" si="0"/>
        <v>0</v>
      </c>
      <c r="AB12" s="42">
        <f>SUM(C12:H12)</f>
        <v>142597.72</v>
      </c>
      <c r="AC12" s="43">
        <f>G_05</f>
        <v>142597.72</v>
      </c>
      <c r="AD12" s="153">
        <f t="shared" si="1"/>
        <v>0</v>
      </c>
    </row>
    <row r="13" spans="1:30" s="4" customFormat="1" ht="18" hidden="1" customHeight="1">
      <c r="A13" s="21" t="str">
        <f>Planilha!$B$490</f>
        <v>06</v>
      </c>
      <c r="B13" s="22" t="str">
        <f>Planilha!$C$490</f>
        <v>GRUPO 06</v>
      </c>
      <c r="C13" s="2">
        <f>ROUND(F_06_30*G_06,2)</f>
        <v>0</v>
      </c>
      <c r="D13" s="2">
        <f>ROUND(F_06_60*G_06,2)</f>
        <v>0</v>
      </c>
      <c r="E13" s="2">
        <f>ROUND(F_06_90*G_06,2)</f>
        <v>0</v>
      </c>
      <c r="F13" s="2">
        <f>ROUND(F_06_120*G_06,2)</f>
        <v>0</v>
      </c>
      <c r="G13" s="2">
        <f>ROUND(F_06_150*G_06,2)</f>
        <v>0</v>
      </c>
      <c r="H13" s="2">
        <f>ROUND(F_06_180*G_06,2)</f>
        <v>0</v>
      </c>
      <c r="I13" s="2">
        <f>ROUND(F_06_210*G_06,2)</f>
        <v>0</v>
      </c>
      <c r="J13" s="2">
        <f>ROUND(F_06_240*G_06,2)</f>
        <v>0</v>
      </c>
      <c r="K13" s="2">
        <f>ROUND(F_06_270*G_06,2)</f>
        <v>0</v>
      </c>
      <c r="L13" s="2">
        <f>ROUND(F_06_300*G_06,2)</f>
        <v>0</v>
      </c>
      <c r="M13" s="2">
        <f>ROUND(F_06_330*G_06,2)</f>
        <v>0</v>
      </c>
      <c r="N13" s="2">
        <f>ROUND(F_06_360*G_06,2)</f>
        <v>0</v>
      </c>
      <c r="O13" s="2">
        <f>ROUND(F_06_390*G_06,2)</f>
        <v>0</v>
      </c>
      <c r="P13" s="2">
        <f>ROUND(F_06_420*G_06,2)</f>
        <v>0</v>
      </c>
      <c r="Q13" s="2">
        <f>ROUND(F_06_450*G_06,2)</f>
        <v>0</v>
      </c>
      <c r="R13" s="2">
        <f>ROUND(F_06_480*G_06,2)</f>
        <v>0</v>
      </c>
      <c r="S13" s="2">
        <f>ROUND(F_06_510*G_06,2)</f>
        <v>0</v>
      </c>
      <c r="T13" s="2">
        <f>ROUND(F_06_540*G_06,2)</f>
        <v>0</v>
      </c>
      <c r="U13" s="2">
        <f>ROUND(F_06_570*G_06,2)</f>
        <v>0</v>
      </c>
      <c r="V13" s="2">
        <f>ROUND(F_06_600*G_06,2)</f>
        <v>0</v>
      </c>
      <c r="W13" s="2">
        <f>ROUND(F_06_630*G_06,2)</f>
        <v>0</v>
      </c>
      <c r="X13" s="2">
        <f>ROUND(F_06_660*G_06,2)</f>
        <v>0</v>
      </c>
      <c r="Y13" s="2">
        <f>ROUND(F_06_690*G_06,2)</f>
        <v>0</v>
      </c>
      <c r="Z13" s="2">
        <f>ROUND(F_06_720*G_06,2)</f>
        <v>0</v>
      </c>
      <c r="AA13" s="41">
        <f t="shared" si="0"/>
        <v>0</v>
      </c>
      <c r="AB13" s="42">
        <f t="shared" ref="AB13:AB22" si="2">SUM(C13:Z13)</f>
        <v>0</v>
      </c>
      <c r="AC13" s="43">
        <f>G_06</f>
        <v>0</v>
      </c>
    </row>
    <row r="14" spans="1:30" s="4" customFormat="1" ht="18" hidden="1" customHeight="1">
      <c r="A14" s="21" t="str">
        <f>Planilha!$B$572</f>
        <v>07</v>
      </c>
      <c r="B14" s="22" t="str">
        <f>Planilha!$C$572</f>
        <v>GRUPO 07</v>
      </c>
      <c r="C14" s="2">
        <f>ROUND(F_07_30*G_07,2)</f>
        <v>0</v>
      </c>
      <c r="D14" s="2">
        <f>ROUND(F_07_60*G_07,2)</f>
        <v>0</v>
      </c>
      <c r="E14" s="2">
        <f>ROUND(F_07_90*G_07,2)</f>
        <v>0</v>
      </c>
      <c r="F14" s="2">
        <f>ROUND(F_07_120*G_07,2)</f>
        <v>0</v>
      </c>
      <c r="G14" s="2">
        <f>ROUND(F_07_150*G_07,2)</f>
        <v>0</v>
      </c>
      <c r="H14" s="2">
        <f>ROUND(F_07_180*G_07,2)</f>
        <v>0</v>
      </c>
      <c r="I14" s="2">
        <f>ROUND(F_07_210*G_07,2)</f>
        <v>0</v>
      </c>
      <c r="J14" s="2">
        <f>ROUND(F_07_240*G_07,2)</f>
        <v>0</v>
      </c>
      <c r="K14" s="2">
        <f>ROUND(F_07_270*G_07,2)</f>
        <v>0</v>
      </c>
      <c r="L14" s="2">
        <f>ROUND(F_07_300*G_07,2)</f>
        <v>0</v>
      </c>
      <c r="M14" s="2">
        <f>ROUND(F_07_330*G_07,2)</f>
        <v>0</v>
      </c>
      <c r="N14" s="2">
        <f>ROUND(F_07_360*G_07,2)</f>
        <v>0</v>
      </c>
      <c r="O14" s="2">
        <f>ROUND(F_07_390*G_07,2)</f>
        <v>0</v>
      </c>
      <c r="P14" s="2">
        <f>ROUND(F_07_420*G_07,2)</f>
        <v>0</v>
      </c>
      <c r="Q14" s="2">
        <f>ROUND(F_07_450*G_07,2)</f>
        <v>0</v>
      </c>
      <c r="R14" s="2">
        <f>ROUND(F_07_480*G_07,2)</f>
        <v>0</v>
      </c>
      <c r="S14" s="2">
        <f>ROUND(F_07_510*G_07,2)</f>
        <v>0</v>
      </c>
      <c r="T14" s="2">
        <f>ROUND(F_07_540*G_07,2)</f>
        <v>0</v>
      </c>
      <c r="U14" s="2">
        <f>ROUND(F_07_570*G_07,2)</f>
        <v>0</v>
      </c>
      <c r="V14" s="2">
        <f>ROUND(F_07_600*G_07,2)</f>
        <v>0</v>
      </c>
      <c r="W14" s="2">
        <f>ROUND(F_07_630*G_07,2)</f>
        <v>0</v>
      </c>
      <c r="X14" s="2">
        <f>ROUND(F_07_660*G_07,2)</f>
        <v>0</v>
      </c>
      <c r="Y14" s="2">
        <f>ROUND(F_07_690*G_07,2)</f>
        <v>0</v>
      </c>
      <c r="Z14" s="2">
        <f>ROUND(F_07_720*G_07,2)</f>
        <v>0</v>
      </c>
      <c r="AA14" s="41">
        <f t="shared" si="0"/>
        <v>0</v>
      </c>
      <c r="AB14" s="42">
        <f t="shared" si="2"/>
        <v>0</v>
      </c>
      <c r="AC14" s="43">
        <f>G_07</f>
        <v>0</v>
      </c>
    </row>
    <row r="15" spans="1:30" s="4" customFormat="1" ht="18" hidden="1" customHeight="1">
      <c r="A15" s="21" t="str">
        <f>Planilha!$B$654</f>
        <v>08</v>
      </c>
      <c r="B15" s="22" t="str">
        <f>Planilha!$C$654</f>
        <v>GRUPO 08</v>
      </c>
      <c r="C15" s="2">
        <f>ROUND(F_08_30*G_08,2)</f>
        <v>0</v>
      </c>
      <c r="D15" s="2">
        <f>ROUND(F_08_60*G_08,2)</f>
        <v>0</v>
      </c>
      <c r="E15" s="2">
        <f>ROUND(F_08_90*G_08,2)</f>
        <v>0</v>
      </c>
      <c r="F15" s="2">
        <f>ROUND(F_08_120*G_08,2)</f>
        <v>0</v>
      </c>
      <c r="G15" s="2">
        <f>ROUND(F_08_150*G_08,2)</f>
        <v>0</v>
      </c>
      <c r="H15" s="2">
        <f>ROUND(F_08_180*G_08,2)</f>
        <v>0</v>
      </c>
      <c r="I15" s="2">
        <f>ROUND(F_08_210*G_08,2)</f>
        <v>0</v>
      </c>
      <c r="J15" s="2">
        <f>ROUND(F_08_240*G_08,2)</f>
        <v>0</v>
      </c>
      <c r="K15" s="2">
        <f>ROUND(F_08_270*G_08,2)</f>
        <v>0</v>
      </c>
      <c r="L15" s="2">
        <f>ROUND(F_08_300*G_08,2)</f>
        <v>0</v>
      </c>
      <c r="M15" s="2">
        <f>ROUND(F_08_330*G_08,2)</f>
        <v>0</v>
      </c>
      <c r="N15" s="2">
        <f>ROUND(F_08_360*G_08,2)</f>
        <v>0</v>
      </c>
      <c r="O15" s="2">
        <f>ROUND(F_08_390*G_08,2)</f>
        <v>0</v>
      </c>
      <c r="P15" s="2">
        <f>ROUND(F_08_420*G_08,2)</f>
        <v>0</v>
      </c>
      <c r="Q15" s="2">
        <f>ROUND(F_08_450*G_08,2)</f>
        <v>0</v>
      </c>
      <c r="R15" s="2">
        <f>ROUND(F_08_480*G_08,2)</f>
        <v>0</v>
      </c>
      <c r="S15" s="2">
        <f>ROUND(F_08_510*G_08,2)</f>
        <v>0</v>
      </c>
      <c r="T15" s="2">
        <f>ROUND(F_08_540*G_08,2)</f>
        <v>0</v>
      </c>
      <c r="U15" s="2">
        <f>ROUND(F_08_570*G_08,2)</f>
        <v>0</v>
      </c>
      <c r="V15" s="2">
        <f>ROUND(F_08_600*G_08,2)</f>
        <v>0</v>
      </c>
      <c r="W15" s="2">
        <f>ROUND(F_08_630*G_08,2)</f>
        <v>0</v>
      </c>
      <c r="X15" s="2">
        <f>ROUND(F_08_660*G_08,2)</f>
        <v>0</v>
      </c>
      <c r="Y15" s="2">
        <f>ROUND(F_08_690*G_08,2)</f>
        <v>0</v>
      </c>
      <c r="Z15" s="2">
        <f>ROUND(F_08_720*G_08,2)</f>
        <v>0</v>
      </c>
      <c r="AA15" s="41">
        <f t="shared" si="0"/>
        <v>0</v>
      </c>
      <c r="AB15" s="42">
        <f t="shared" si="2"/>
        <v>0</v>
      </c>
      <c r="AC15" s="43">
        <f>G_08</f>
        <v>0</v>
      </c>
    </row>
    <row r="16" spans="1:30" s="4" customFormat="1" ht="18" hidden="1" customHeight="1">
      <c r="A16" s="21" t="str">
        <f>Planilha!$B$736</f>
        <v>09</v>
      </c>
      <c r="B16" s="22" t="str">
        <f>Planilha!$C$736</f>
        <v>GRUPO 09</v>
      </c>
      <c r="C16" s="2">
        <f>ROUND(F_09_30*G_09,2)</f>
        <v>0</v>
      </c>
      <c r="D16" s="2">
        <f>ROUND(F_09_60*G_09,2)</f>
        <v>0</v>
      </c>
      <c r="E16" s="2">
        <f>ROUND(F_09_90*G_09,2)</f>
        <v>0</v>
      </c>
      <c r="F16" s="2">
        <f>ROUND(F_09_120*G_09,2)</f>
        <v>0</v>
      </c>
      <c r="G16" s="2">
        <f>ROUND(F_09_150*G_09,2)</f>
        <v>0</v>
      </c>
      <c r="H16" s="2">
        <f>ROUND(F_09_180*G_09,2)</f>
        <v>0</v>
      </c>
      <c r="I16" s="2">
        <f>ROUND(F_09_210*G_09,2)</f>
        <v>0</v>
      </c>
      <c r="J16" s="2">
        <f>ROUND(F_09_240*G_09,2)</f>
        <v>0</v>
      </c>
      <c r="K16" s="2">
        <f>ROUND(F_09_270*G_09,2)</f>
        <v>0</v>
      </c>
      <c r="L16" s="2">
        <f>ROUND(F_09_300*G_09,2)</f>
        <v>0</v>
      </c>
      <c r="M16" s="2">
        <f>ROUND(F_09_330*G_09,2)</f>
        <v>0</v>
      </c>
      <c r="N16" s="2">
        <f>ROUND(F_09_360*G_09,2)</f>
        <v>0</v>
      </c>
      <c r="O16" s="2">
        <f>ROUND(F_09_390*G_09,2)</f>
        <v>0</v>
      </c>
      <c r="P16" s="2">
        <f>ROUND(F_09_420*G_09,2)</f>
        <v>0</v>
      </c>
      <c r="Q16" s="2">
        <f>ROUND(F_09_450*G_09,2)</f>
        <v>0</v>
      </c>
      <c r="R16" s="2">
        <f>ROUND(F_09_480*G_09,2)</f>
        <v>0</v>
      </c>
      <c r="S16" s="2">
        <f>ROUND(F_09_510*G_09,2)</f>
        <v>0</v>
      </c>
      <c r="T16" s="2">
        <f>ROUND(F_09_540*G_09,2)</f>
        <v>0</v>
      </c>
      <c r="U16" s="2">
        <f>ROUND(F_09_570*G_09,2)</f>
        <v>0</v>
      </c>
      <c r="V16" s="2">
        <f>ROUND(F_09_600*G_09,2)</f>
        <v>0</v>
      </c>
      <c r="W16" s="2">
        <f>ROUND(F_09_630*G_09,2)</f>
        <v>0</v>
      </c>
      <c r="X16" s="2">
        <f>ROUND(F_09_660*G_09,2)</f>
        <v>0</v>
      </c>
      <c r="Y16" s="2">
        <f>ROUND(F_09_690*G_09,2)</f>
        <v>0</v>
      </c>
      <c r="Z16" s="2">
        <f>ROUND(F_09_720*G_09,2)</f>
        <v>0</v>
      </c>
      <c r="AA16" s="41">
        <f t="shared" si="0"/>
        <v>0</v>
      </c>
      <c r="AB16" s="42">
        <f t="shared" si="2"/>
        <v>0</v>
      </c>
      <c r="AC16" s="43">
        <f>G_09</f>
        <v>0</v>
      </c>
    </row>
    <row r="17" spans="1:29" s="4" customFormat="1" ht="18" hidden="1" customHeight="1">
      <c r="A17" s="21" t="str">
        <f>Planilha!$B$818</f>
        <v>10</v>
      </c>
      <c r="B17" s="22" t="str">
        <f>Planilha!$C$818</f>
        <v>GRUPO 10</v>
      </c>
      <c r="C17" s="2">
        <f>ROUND(F_10_30*G_10,2)</f>
        <v>0</v>
      </c>
      <c r="D17" s="2">
        <f>ROUND(F_10_60*G_10,2)</f>
        <v>0</v>
      </c>
      <c r="E17" s="2">
        <f>ROUND(F_10_90*G_10,2)</f>
        <v>0</v>
      </c>
      <c r="F17" s="2">
        <f>ROUND(F_10_120*G_10,2)</f>
        <v>0</v>
      </c>
      <c r="G17" s="2">
        <f>ROUND(F_10_150*G_10,2)</f>
        <v>0</v>
      </c>
      <c r="H17" s="2">
        <f>ROUND(F_10_180*G_10,2)</f>
        <v>0</v>
      </c>
      <c r="I17" s="2">
        <f>ROUND(F_10_210*G_10,2)</f>
        <v>0</v>
      </c>
      <c r="J17" s="2">
        <f>ROUND(F_10_240*G_10,2)</f>
        <v>0</v>
      </c>
      <c r="K17" s="2">
        <f>ROUND(F_10_270*G_10,2)</f>
        <v>0</v>
      </c>
      <c r="L17" s="2">
        <f>ROUND(F_10_300*G_10,2)</f>
        <v>0</v>
      </c>
      <c r="M17" s="2">
        <f>ROUND(F_10_330*G_10,2)</f>
        <v>0</v>
      </c>
      <c r="N17" s="2">
        <f>ROUND(F_10_360*G_10,2)</f>
        <v>0</v>
      </c>
      <c r="O17" s="2">
        <f>ROUND(F_10_390*G_10,2)</f>
        <v>0</v>
      </c>
      <c r="P17" s="2">
        <f>ROUND(F_10_420*G_10,2)</f>
        <v>0</v>
      </c>
      <c r="Q17" s="2">
        <f>ROUND(F_10_450*G_10,2)</f>
        <v>0</v>
      </c>
      <c r="R17" s="2">
        <f>ROUND(F_10_480*G_10,2)</f>
        <v>0</v>
      </c>
      <c r="S17" s="2">
        <f>ROUND(F_10_510*G_10,2)</f>
        <v>0</v>
      </c>
      <c r="T17" s="2">
        <f>ROUND(F_10_540*G_10,2)</f>
        <v>0</v>
      </c>
      <c r="U17" s="2">
        <f>ROUND(F_10_570*G_10,2)</f>
        <v>0</v>
      </c>
      <c r="V17" s="2">
        <f>ROUND(F_10_600*G_10,2)</f>
        <v>0</v>
      </c>
      <c r="W17" s="2">
        <f>ROUND(F_10_630*G_10,2)</f>
        <v>0</v>
      </c>
      <c r="X17" s="2">
        <f>ROUND(F_10_660*G_10,2)</f>
        <v>0</v>
      </c>
      <c r="Y17" s="2">
        <f>ROUND(F_10_690*G_10,2)</f>
        <v>0</v>
      </c>
      <c r="Z17" s="2">
        <f>ROUND(F_10_720*G_10,2)</f>
        <v>0</v>
      </c>
      <c r="AA17" s="41">
        <f t="shared" si="0"/>
        <v>0</v>
      </c>
      <c r="AB17" s="42">
        <f t="shared" si="2"/>
        <v>0</v>
      </c>
      <c r="AC17" s="43">
        <f>G_10</f>
        <v>0</v>
      </c>
    </row>
    <row r="18" spans="1:29" s="4" customFormat="1" ht="18" hidden="1" customHeight="1">
      <c r="A18" s="21" t="str">
        <f>Planilha!$B$900</f>
        <v>11</v>
      </c>
      <c r="B18" s="22" t="str">
        <f>Planilha!$C$900</f>
        <v>GRUPO 11</v>
      </c>
      <c r="C18" s="2">
        <f>ROUND(F_11_30*G_11,2)</f>
        <v>0</v>
      </c>
      <c r="D18" s="2">
        <f>ROUND(F_11_60*G_11,2)</f>
        <v>0</v>
      </c>
      <c r="E18" s="2">
        <f>ROUND(F_11_90*G_11,2)</f>
        <v>0</v>
      </c>
      <c r="F18" s="2">
        <f>ROUND(F_11_120*G_11,2)</f>
        <v>0</v>
      </c>
      <c r="G18" s="2">
        <f>ROUND(F_11_150*G_11,2)</f>
        <v>0</v>
      </c>
      <c r="H18" s="2">
        <f>ROUND(F_11_180*G_11,2)</f>
        <v>0</v>
      </c>
      <c r="I18" s="2">
        <f>ROUND(F_11_210*G_11,2)</f>
        <v>0</v>
      </c>
      <c r="J18" s="2">
        <f>ROUND(F_11_240*G_11,2)</f>
        <v>0</v>
      </c>
      <c r="K18" s="2">
        <f>ROUND(F_11_270*G_11,2)</f>
        <v>0</v>
      </c>
      <c r="L18" s="2">
        <f>ROUND(F_11_300*G_11,2)</f>
        <v>0</v>
      </c>
      <c r="M18" s="2">
        <f>ROUND(F_11_330*G_11,2)</f>
        <v>0</v>
      </c>
      <c r="N18" s="2">
        <f>ROUND(F_11_360*G_11,2)</f>
        <v>0</v>
      </c>
      <c r="O18" s="2">
        <f>ROUND(F_11_390*G_11,2)</f>
        <v>0</v>
      </c>
      <c r="P18" s="2">
        <f>ROUND(F_11_420*G_11,2)</f>
        <v>0</v>
      </c>
      <c r="Q18" s="2">
        <f>ROUND(F_11_450*G_11,2)</f>
        <v>0</v>
      </c>
      <c r="R18" s="2">
        <f>ROUND(F_11_480*G_11,2)</f>
        <v>0</v>
      </c>
      <c r="S18" s="2">
        <f>ROUND(F_11_510*G_11,2)</f>
        <v>0</v>
      </c>
      <c r="T18" s="2">
        <f>ROUND(F_11_540*G_11,2)</f>
        <v>0</v>
      </c>
      <c r="U18" s="2">
        <f>ROUND(F_11_570*G_11,2)</f>
        <v>0</v>
      </c>
      <c r="V18" s="2">
        <f>ROUND(F_11_600*G_11,2)</f>
        <v>0</v>
      </c>
      <c r="W18" s="2">
        <f>ROUND(F_11_630*G_11,2)</f>
        <v>0</v>
      </c>
      <c r="X18" s="2">
        <f>ROUND(F_11_660*G_11,2)</f>
        <v>0</v>
      </c>
      <c r="Y18" s="2">
        <f>ROUND(F_11_690*G_11,2)</f>
        <v>0</v>
      </c>
      <c r="Z18" s="2">
        <f>ROUND(F_11_720*G_11,2)</f>
        <v>0</v>
      </c>
      <c r="AA18" s="41">
        <f t="shared" si="0"/>
        <v>0</v>
      </c>
      <c r="AB18" s="42">
        <f t="shared" si="2"/>
        <v>0</v>
      </c>
      <c r="AC18" s="43">
        <f>G_11</f>
        <v>0</v>
      </c>
    </row>
    <row r="19" spans="1:29" s="4" customFormat="1" ht="18" hidden="1" customHeight="1">
      <c r="A19" s="21" t="str">
        <f>Planilha!$B$982</f>
        <v>12</v>
      </c>
      <c r="B19" s="22" t="str">
        <f>Planilha!$C$982</f>
        <v>GRUPO 12</v>
      </c>
      <c r="C19" s="2">
        <f>ROUND(F_12_30*G_12,2)</f>
        <v>0</v>
      </c>
      <c r="D19" s="2">
        <f>ROUND(F_12_60*G_12,2)</f>
        <v>0</v>
      </c>
      <c r="E19" s="2">
        <f>ROUND(F_12_90*G_12,2)</f>
        <v>0</v>
      </c>
      <c r="F19" s="2">
        <f>ROUND(F_12_120*G_12,2)</f>
        <v>0</v>
      </c>
      <c r="G19" s="2">
        <f>ROUND(F_12_150*G_12,2)</f>
        <v>0</v>
      </c>
      <c r="H19" s="2">
        <f>ROUND(F_12_180*G_12,2)</f>
        <v>0</v>
      </c>
      <c r="I19" s="2">
        <f>ROUND(F_12_210*G_12,2)</f>
        <v>0</v>
      </c>
      <c r="J19" s="2">
        <f>ROUND(F_12_240*G_12,2)</f>
        <v>0</v>
      </c>
      <c r="K19" s="2">
        <f>ROUND(F_12_270*G_12,2)</f>
        <v>0</v>
      </c>
      <c r="L19" s="2">
        <f>ROUND(F_12_300*G_12,2)</f>
        <v>0</v>
      </c>
      <c r="M19" s="2">
        <f>ROUND(F_12_330*G_12,2)</f>
        <v>0</v>
      </c>
      <c r="N19" s="2">
        <f>ROUND(F_12_360*G_12,2)</f>
        <v>0</v>
      </c>
      <c r="O19" s="2">
        <f>ROUND(F_12_390*G_12,2)</f>
        <v>0</v>
      </c>
      <c r="P19" s="2">
        <f>ROUND(F_12_420*G_12,2)</f>
        <v>0</v>
      </c>
      <c r="Q19" s="2">
        <f>ROUND(F_12_450*G_12,2)</f>
        <v>0</v>
      </c>
      <c r="R19" s="2">
        <f>ROUND(F_12_480*G_12,2)</f>
        <v>0</v>
      </c>
      <c r="S19" s="2">
        <f>ROUND(F_12_510*G_12,2)</f>
        <v>0</v>
      </c>
      <c r="T19" s="2">
        <f>ROUND(F_12_540*G_12,2)</f>
        <v>0</v>
      </c>
      <c r="U19" s="2">
        <f>ROUND(F_12_570*G_12,2)</f>
        <v>0</v>
      </c>
      <c r="V19" s="2">
        <f>ROUND(F_12_600*G_12,2)</f>
        <v>0</v>
      </c>
      <c r="W19" s="2">
        <f>ROUND(F_12_630*G_12,2)</f>
        <v>0</v>
      </c>
      <c r="X19" s="2">
        <f>ROUND(F_12_660*G_12,2)</f>
        <v>0</v>
      </c>
      <c r="Y19" s="2">
        <f>ROUND(F_12_690*G_12,2)</f>
        <v>0</v>
      </c>
      <c r="Z19" s="2">
        <f>ROUND(F_12_720*G_12,2)</f>
        <v>0</v>
      </c>
      <c r="AA19" s="41">
        <f t="shared" si="0"/>
        <v>0</v>
      </c>
      <c r="AB19" s="42">
        <f t="shared" si="2"/>
        <v>0</v>
      </c>
      <c r="AC19" s="43">
        <f>G_12</f>
        <v>0</v>
      </c>
    </row>
    <row r="20" spans="1:29" s="4" customFormat="1" ht="18" hidden="1" customHeight="1">
      <c r="A20" s="21" t="str">
        <f>Planilha!$B$1064</f>
        <v>13</v>
      </c>
      <c r="B20" s="22" t="str">
        <f>Planilha!$C$1064</f>
        <v>GRUPO 13</v>
      </c>
      <c r="C20" s="2">
        <f>ROUND(F_13_30*G_13,2)</f>
        <v>0</v>
      </c>
      <c r="D20" s="2">
        <f>ROUND(F_13_60*G_13,2)</f>
        <v>0</v>
      </c>
      <c r="E20" s="2">
        <f>ROUND(F_13_90*G_13,2)</f>
        <v>0</v>
      </c>
      <c r="F20" s="2">
        <f>ROUND(F_13_120*G_13,2)</f>
        <v>0</v>
      </c>
      <c r="G20" s="2">
        <f>ROUND(F_13_150*G_13,2)</f>
        <v>0</v>
      </c>
      <c r="H20" s="2">
        <f>ROUND(F_13_180*G_13,2)</f>
        <v>0</v>
      </c>
      <c r="I20" s="2">
        <f>ROUND(F_13_210*G_13,2)</f>
        <v>0</v>
      </c>
      <c r="J20" s="2">
        <f>ROUND(F_13_240*G_13,2)</f>
        <v>0</v>
      </c>
      <c r="K20" s="2">
        <f>ROUND(F_13_270*G_13,2)</f>
        <v>0</v>
      </c>
      <c r="L20" s="2">
        <f>ROUND(F_13_300*G_13,2)</f>
        <v>0</v>
      </c>
      <c r="M20" s="2">
        <f>ROUND(F_13_330*G_13,2)</f>
        <v>0</v>
      </c>
      <c r="N20" s="2">
        <f>ROUND(F_13_360*G_13,2)</f>
        <v>0</v>
      </c>
      <c r="O20" s="2">
        <f>ROUND(F_13_390*G_13,2)</f>
        <v>0</v>
      </c>
      <c r="P20" s="2">
        <f>ROUND(F_13_420*G_13,2)</f>
        <v>0</v>
      </c>
      <c r="Q20" s="2">
        <f>ROUND(F_13_450*G_13,2)</f>
        <v>0</v>
      </c>
      <c r="R20" s="2">
        <f>ROUND(F_13_480*G_13,2)</f>
        <v>0</v>
      </c>
      <c r="S20" s="2">
        <f>ROUND(F_13_510*G_13,2)</f>
        <v>0</v>
      </c>
      <c r="T20" s="2">
        <f>ROUND(F_13_540*G_13,2)</f>
        <v>0</v>
      </c>
      <c r="U20" s="2">
        <f>ROUND(F_13_570*G_13,2)</f>
        <v>0</v>
      </c>
      <c r="V20" s="2">
        <f>ROUND(F_13_600*G_13,2)</f>
        <v>0</v>
      </c>
      <c r="W20" s="2">
        <f>ROUND(F_13_630*G_13,2)</f>
        <v>0</v>
      </c>
      <c r="X20" s="2">
        <f>ROUND(F_13_660*G_13,2)</f>
        <v>0</v>
      </c>
      <c r="Y20" s="2">
        <f>ROUND(F_13_690*G_13,2)</f>
        <v>0</v>
      </c>
      <c r="Z20" s="2">
        <f>ROUND(F_13_720*G_13,2)</f>
        <v>0</v>
      </c>
      <c r="AA20" s="41">
        <f t="shared" si="0"/>
        <v>0</v>
      </c>
      <c r="AB20" s="42">
        <f t="shared" si="2"/>
        <v>0</v>
      </c>
      <c r="AC20" s="43">
        <f>G_13</f>
        <v>0</v>
      </c>
    </row>
    <row r="21" spans="1:29" s="4" customFormat="1" ht="18" hidden="1" customHeight="1">
      <c r="A21" s="21" t="str">
        <f>Planilha!$B$1146</f>
        <v>14</v>
      </c>
      <c r="B21" s="22" t="str">
        <f>Planilha!$C$1146</f>
        <v>GRUPO 14</v>
      </c>
      <c r="C21" s="2">
        <f>ROUND(F_14_30*G_14,2)</f>
        <v>0</v>
      </c>
      <c r="D21" s="2">
        <f>ROUND(F_14_60*G_14,2)</f>
        <v>0</v>
      </c>
      <c r="E21" s="2">
        <f>ROUND(F_14_90*G_14,2)</f>
        <v>0</v>
      </c>
      <c r="F21" s="2">
        <f>ROUND(F_14_120*G_14,2)</f>
        <v>0</v>
      </c>
      <c r="G21" s="2">
        <f>ROUND(F_14_150*G_14,2)</f>
        <v>0</v>
      </c>
      <c r="H21" s="2">
        <f>ROUND(F_14_180*G_14,2)</f>
        <v>0</v>
      </c>
      <c r="I21" s="2">
        <f>ROUND(F_14_210*G_14,2)</f>
        <v>0</v>
      </c>
      <c r="J21" s="2">
        <f>ROUND(F_14_240*G_14,2)</f>
        <v>0</v>
      </c>
      <c r="K21" s="2">
        <f>ROUND(F_14_270*G_14,2)</f>
        <v>0</v>
      </c>
      <c r="L21" s="2">
        <f>ROUND(F_14_300*G_14,2)</f>
        <v>0</v>
      </c>
      <c r="M21" s="2">
        <f>ROUND(F_14_330*G_14,2)</f>
        <v>0</v>
      </c>
      <c r="N21" s="2">
        <f>ROUND(F_14_360*G_14,2)</f>
        <v>0</v>
      </c>
      <c r="O21" s="2">
        <f>ROUND(F_14_390*G_14,2)</f>
        <v>0</v>
      </c>
      <c r="P21" s="2">
        <f>ROUND(F_14_420*G_14,2)</f>
        <v>0</v>
      </c>
      <c r="Q21" s="2">
        <f>ROUND(F_14_450*G_14,2)</f>
        <v>0</v>
      </c>
      <c r="R21" s="2">
        <f>ROUND(F_14_480*G_14,2)</f>
        <v>0</v>
      </c>
      <c r="S21" s="2">
        <f>ROUND(F_14_510*G_14,2)</f>
        <v>0</v>
      </c>
      <c r="T21" s="2">
        <f>ROUND(F_14_540*G_14,2)</f>
        <v>0</v>
      </c>
      <c r="U21" s="2">
        <f>ROUND(F_14_570*G_14,2)</f>
        <v>0</v>
      </c>
      <c r="V21" s="2">
        <f>ROUND(F_14_600*G_14,2)</f>
        <v>0</v>
      </c>
      <c r="W21" s="2">
        <f>ROUND(F_14_630*G_14,2)</f>
        <v>0</v>
      </c>
      <c r="X21" s="2">
        <f>ROUND(F_14_660*G_14,2)</f>
        <v>0</v>
      </c>
      <c r="Y21" s="2">
        <f>ROUND(F_14_690*G_14,2)</f>
        <v>0</v>
      </c>
      <c r="Z21" s="2">
        <f>ROUND(F_14_720*G_14,2)</f>
        <v>0</v>
      </c>
      <c r="AA21" s="41">
        <f t="shared" si="0"/>
        <v>0</v>
      </c>
      <c r="AB21" s="42">
        <f t="shared" si="2"/>
        <v>0</v>
      </c>
      <c r="AC21" s="43">
        <f>G_14</f>
        <v>0</v>
      </c>
    </row>
    <row r="22" spans="1:29" s="4" customFormat="1" ht="18" hidden="1" customHeight="1">
      <c r="A22" s="21" t="str">
        <f>Planilha!$B$1228</f>
        <v>15</v>
      </c>
      <c r="B22" s="22" t="str">
        <f>Planilha!$C$1228</f>
        <v>GRUPO 15</v>
      </c>
      <c r="C22" s="2">
        <f>ROUND(F_15_30*G_15,2)</f>
        <v>0</v>
      </c>
      <c r="D22" s="2">
        <f>ROUND(F_15_60*G_15,2)</f>
        <v>0</v>
      </c>
      <c r="E22" s="2">
        <f>ROUND(F_15_90*G_15,2)</f>
        <v>0</v>
      </c>
      <c r="F22" s="2">
        <f>ROUND(F_15_120*G_15,2)</f>
        <v>0</v>
      </c>
      <c r="G22" s="2">
        <f>ROUND(F_15_150*G_15,2)</f>
        <v>0</v>
      </c>
      <c r="H22" s="2">
        <f>ROUND(F_15_180*G_15,2)</f>
        <v>0</v>
      </c>
      <c r="I22" s="2">
        <f>ROUND(F_15_210*G_15,2)</f>
        <v>0</v>
      </c>
      <c r="J22" s="2">
        <f>ROUND(F_15_240*G_15,2)</f>
        <v>0</v>
      </c>
      <c r="K22" s="2">
        <f>ROUND(F_15_270*G_15,2)</f>
        <v>0</v>
      </c>
      <c r="L22" s="2">
        <f>ROUND(F_15_300*G_15,2)</f>
        <v>0</v>
      </c>
      <c r="M22" s="2">
        <f>ROUND(F_15_330*G_15,2)</f>
        <v>0</v>
      </c>
      <c r="N22" s="2">
        <f>ROUND(F_15_360*G_15,2)</f>
        <v>0</v>
      </c>
      <c r="O22" s="2">
        <f>ROUND(F_15_390*G_15,2)</f>
        <v>0</v>
      </c>
      <c r="P22" s="2">
        <f>ROUND(F_15_420*G_15,2)</f>
        <v>0</v>
      </c>
      <c r="Q22" s="2">
        <f>ROUND(F_15_450*G_15,2)</f>
        <v>0</v>
      </c>
      <c r="R22" s="2">
        <f>ROUND(F_15_480*G_15,2)</f>
        <v>0</v>
      </c>
      <c r="S22" s="2">
        <f>ROUND(F_15_510*G_15,2)</f>
        <v>0</v>
      </c>
      <c r="T22" s="2">
        <f>ROUND(F_15_540*G_15,2)</f>
        <v>0</v>
      </c>
      <c r="U22" s="2">
        <f>ROUND(F_15_570*G_15,2)</f>
        <v>0</v>
      </c>
      <c r="V22" s="2">
        <f>ROUND(F_15_600*G_15,2)</f>
        <v>0</v>
      </c>
      <c r="W22" s="2">
        <f>ROUND(F_15_630*G_15,2)</f>
        <v>0</v>
      </c>
      <c r="X22" s="2">
        <f>ROUND(F_15_660*G_15,2)</f>
        <v>0</v>
      </c>
      <c r="Y22" s="2">
        <f>ROUND(F_15_690*G_15,2)</f>
        <v>0</v>
      </c>
      <c r="Z22" s="2">
        <f>ROUND(F_15_720*G_15,2)</f>
        <v>0</v>
      </c>
      <c r="AA22" s="41">
        <f t="shared" si="0"/>
        <v>0</v>
      </c>
      <c r="AB22" s="42">
        <f t="shared" si="2"/>
        <v>0</v>
      </c>
      <c r="AC22" s="43">
        <f>G_15</f>
        <v>0</v>
      </c>
    </row>
    <row r="23" spans="1:29" s="4" customFormat="1" ht="18" hidden="1" customHeight="1">
      <c r="A23" s="21" t="str">
        <f>Planilha!$B$1310</f>
        <v>16</v>
      </c>
      <c r="B23" s="22" t="str">
        <f>Planilha!$C$1310</f>
        <v>GRUPO 16</v>
      </c>
      <c r="C23" s="2">
        <f>ROUND(F_16_30*G_16,2)</f>
        <v>0</v>
      </c>
      <c r="D23" s="2">
        <f>ROUND(F_16_60*G_16,2)</f>
        <v>0</v>
      </c>
      <c r="E23" s="2">
        <f>ROUND(F_16_90*G_16,2)</f>
        <v>0</v>
      </c>
      <c r="F23" s="2">
        <f>ROUND(F_16_120*G_16,2)</f>
        <v>0</v>
      </c>
      <c r="G23" s="2">
        <f>ROUND(F_16_150*G_16,2)</f>
        <v>0</v>
      </c>
      <c r="H23" s="2">
        <f>ROUND(F_16_180*G_16,2)</f>
        <v>0</v>
      </c>
      <c r="I23" s="2">
        <f>ROUND(F_16_210*G_16,2)</f>
        <v>0</v>
      </c>
      <c r="J23" s="2">
        <f>ROUND(F_16_240*G_16,2)</f>
        <v>0</v>
      </c>
      <c r="K23" s="2">
        <f>ROUND(F_16_270*G_16,2)</f>
        <v>0</v>
      </c>
      <c r="L23" s="2">
        <f>ROUND(F_16_300*G_16,2)</f>
        <v>0</v>
      </c>
      <c r="M23" s="2">
        <f>ROUND(F_16_330*G_16,2)</f>
        <v>0</v>
      </c>
      <c r="N23" s="2">
        <f>ROUND(F_16_360*G_16,2)</f>
        <v>0</v>
      </c>
      <c r="O23" s="2">
        <f>ROUND(F_16_390*G_16,2)</f>
        <v>0</v>
      </c>
      <c r="P23" s="2">
        <f>ROUND(F_16_420*G_16,2)</f>
        <v>0</v>
      </c>
      <c r="Q23" s="2">
        <f>ROUND(F_16_450*G_16,2)</f>
        <v>0</v>
      </c>
      <c r="R23" s="2">
        <f>ROUND(F_16_480*G_16,2)</f>
        <v>0</v>
      </c>
      <c r="S23" s="2">
        <f>ROUND(F_16_510*G_16,2)</f>
        <v>0</v>
      </c>
      <c r="T23" s="2">
        <f>ROUND(F_16_540*G_16,2)</f>
        <v>0</v>
      </c>
      <c r="U23" s="2">
        <f>ROUND(F_16_570*G_16,2)</f>
        <v>0</v>
      </c>
      <c r="V23" s="2">
        <f>ROUND(F_16_600*G_16,2)</f>
        <v>0</v>
      </c>
      <c r="W23" s="2">
        <f>ROUND(F_16_630*G_16,2)</f>
        <v>0</v>
      </c>
      <c r="X23" s="2">
        <f>ROUND(F_16_660*G_16,2)</f>
        <v>0</v>
      </c>
      <c r="Y23" s="2">
        <f>ROUND(F_16_690*G_16,2)</f>
        <v>0</v>
      </c>
      <c r="Z23" s="2">
        <f>ROUND(F_16_720*G_16,2)</f>
        <v>0</v>
      </c>
      <c r="AA23" s="41">
        <f>IF((Y23-Z23)&gt;ABS(0.01),"CUIDADO",0)</f>
        <v>0</v>
      </c>
      <c r="AB23" s="42">
        <f>SUM(C23:Z23)</f>
        <v>0</v>
      </c>
      <c r="AC23" s="43">
        <f>G_16</f>
        <v>0</v>
      </c>
    </row>
    <row r="24" spans="1:29" s="4" customFormat="1" ht="18" hidden="1" customHeight="1">
      <c r="A24" s="21" t="str">
        <f>Planilha!$B$1392</f>
        <v>17</v>
      </c>
      <c r="B24" s="22" t="str">
        <f>Planilha!$C$1392</f>
        <v>GRUPO 17</v>
      </c>
      <c r="C24" s="2">
        <f>ROUND(F_17_30*G_17,2)</f>
        <v>0</v>
      </c>
      <c r="D24" s="2">
        <f>ROUND(F_17_60*G_17,2)</f>
        <v>0</v>
      </c>
      <c r="E24" s="2">
        <f>ROUND(F_17_90*G_17,2)</f>
        <v>0</v>
      </c>
      <c r="F24" s="2">
        <f>ROUND(F_17_120*G_17,2)</f>
        <v>0</v>
      </c>
      <c r="G24" s="2">
        <f>ROUND(F_17_150*G_17,2)</f>
        <v>0</v>
      </c>
      <c r="H24" s="2">
        <f>ROUND(F_17_180*G_17,2)</f>
        <v>0</v>
      </c>
      <c r="I24" s="2">
        <f>ROUND(F_17_210*G_17,2)</f>
        <v>0</v>
      </c>
      <c r="J24" s="2">
        <f>ROUND(F_17_240*G_17,2)</f>
        <v>0</v>
      </c>
      <c r="K24" s="2">
        <f>ROUND(F_17_270*G_17,2)</f>
        <v>0</v>
      </c>
      <c r="L24" s="2">
        <f>ROUND(F_17_300*G_17,2)</f>
        <v>0</v>
      </c>
      <c r="M24" s="2">
        <f>ROUND(F_17_330*G_17,2)</f>
        <v>0</v>
      </c>
      <c r="N24" s="2">
        <f>ROUND(F_17_360*G_17,2)</f>
        <v>0</v>
      </c>
      <c r="O24" s="2">
        <f>ROUND(F_17_390*G_17,2)</f>
        <v>0</v>
      </c>
      <c r="P24" s="2">
        <f>ROUND(F_17_420*G_17,2)</f>
        <v>0</v>
      </c>
      <c r="Q24" s="2">
        <f>ROUND(F_17_450*G_17,2)</f>
        <v>0</v>
      </c>
      <c r="R24" s="2">
        <f>ROUND(F_17_480*G_17,2)</f>
        <v>0</v>
      </c>
      <c r="S24" s="2">
        <f>ROUND(F_17_510*G_17,2)</f>
        <v>0</v>
      </c>
      <c r="T24" s="2">
        <f>ROUND(F_17_540*G_17,2)</f>
        <v>0</v>
      </c>
      <c r="U24" s="2">
        <f>ROUND(F_17_570*G_17,2)</f>
        <v>0</v>
      </c>
      <c r="V24" s="2">
        <f>ROUND(F_17_600*G_17,2)</f>
        <v>0</v>
      </c>
      <c r="W24" s="2">
        <f>ROUND(F_17_630*G_17,2)</f>
        <v>0</v>
      </c>
      <c r="X24" s="2">
        <f>ROUND(F_17_660*G_17,2)</f>
        <v>0</v>
      </c>
      <c r="Y24" s="2">
        <f>ROUND(F_17_690*G_17,2)</f>
        <v>0</v>
      </c>
      <c r="Z24" s="2">
        <f>ROUND(F_17_720*G_17,2)</f>
        <v>0</v>
      </c>
      <c r="AA24" s="41">
        <f>IF((Y24-Z24)&gt;ABS(0.01),"CUIDADO",0)</f>
        <v>0</v>
      </c>
      <c r="AB24" s="42">
        <f>SUM(C24:Z24)</f>
        <v>0</v>
      </c>
      <c r="AC24" s="43">
        <f>G_17</f>
        <v>0</v>
      </c>
    </row>
    <row r="25" spans="1:29" s="4" customFormat="1" ht="18" hidden="1" customHeight="1">
      <c r="A25" s="21" t="str">
        <f>Planilha!$B$1474</f>
        <v>18</v>
      </c>
      <c r="B25" s="22" t="str">
        <f>Planilha!$C$1474</f>
        <v>GRUPO 18</v>
      </c>
      <c r="C25" s="2">
        <f>ROUND(F_18_30*G_18,2)</f>
        <v>0</v>
      </c>
      <c r="D25" s="2">
        <f>ROUND(F_18_60*G_18,2)</f>
        <v>0</v>
      </c>
      <c r="E25" s="2">
        <f>ROUND(F_18_90*G_18,2)</f>
        <v>0</v>
      </c>
      <c r="F25" s="2">
        <f>ROUND(F_18_120*G_18,2)</f>
        <v>0</v>
      </c>
      <c r="G25" s="2">
        <f>ROUND(F_18_150*G_18,2)</f>
        <v>0</v>
      </c>
      <c r="H25" s="2">
        <f>ROUND(F_18_180*G_18,2)</f>
        <v>0</v>
      </c>
      <c r="I25" s="2">
        <f>ROUND(F_18_210*G_18,2)</f>
        <v>0</v>
      </c>
      <c r="J25" s="2">
        <f>ROUND(F_18_240*G_18,2)</f>
        <v>0</v>
      </c>
      <c r="K25" s="2">
        <f>ROUND(F_18_270*G_18,2)</f>
        <v>0</v>
      </c>
      <c r="L25" s="2">
        <f>ROUND(F_18_300*G_18,2)</f>
        <v>0</v>
      </c>
      <c r="M25" s="2">
        <f>ROUND(F_18_330*G_18,2)</f>
        <v>0</v>
      </c>
      <c r="N25" s="2">
        <f>ROUND(F_18_360*G_18,2)</f>
        <v>0</v>
      </c>
      <c r="O25" s="2">
        <f>ROUND(F_18_390*G_18,2)</f>
        <v>0</v>
      </c>
      <c r="P25" s="2">
        <f>ROUND(F_18_420*G_18,2)</f>
        <v>0</v>
      </c>
      <c r="Q25" s="2">
        <f>ROUND(F_18_450*G_18,2)</f>
        <v>0</v>
      </c>
      <c r="R25" s="2">
        <f>ROUND(F_18_480*G_18,2)</f>
        <v>0</v>
      </c>
      <c r="S25" s="2">
        <f>ROUND(F_18_510*G_18,2)</f>
        <v>0</v>
      </c>
      <c r="T25" s="2">
        <f>ROUND(F_18_540*G_18,2)</f>
        <v>0</v>
      </c>
      <c r="U25" s="2">
        <f>ROUND(F_18_570*G_18,2)</f>
        <v>0</v>
      </c>
      <c r="V25" s="2">
        <f>ROUND(F_18_600*G_18,2)</f>
        <v>0</v>
      </c>
      <c r="W25" s="2">
        <f>ROUND(F_18_630*G_18,2)</f>
        <v>0</v>
      </c>
      <c r="X25" s="2">
        <f>ROUND(F_18_660*G_18,2)</f>
        <v>0</v>
      </c>
      <c r="Y25" s="2">
        <f>ROUND(F_18_690*G_18,2)</f>
        <v>0</v>
      </c>
      <c r="Z25" s="2">
        <f>ROUND(F_18_720*G_18,2)</f>
        <v>0</v>
      </c>
      <c r="AA25" s="41">
        <f>IF((Y25-Z25)&gt;ABS(0.01),"CUIDADO",0)</f>
        <v>0</v>
      </c>
      <c r="AB25" s="42">
        <f>SUM(C25:Z25)</f>
        <v>0</v>
      </c>
      <c r="AC25" s="43">
        <f>G_18</f>
        <v>0</v>
      </c>
    </row>
    <row r="26" spans="1:29" s="4" customFormat="1" ht="18" hidden="1" customHeight="1">
      <c r="A26" s="21" t="str">
        <f>Planilha!$B$1556</f>
        <v>19</v>
      </c>
      <c r="B26" s="22" t="str">
        <f>Planilha!$C$1556</f>
        <v>GRUPO 19</v>
      </c>
      <c r="C26" s="2">
        <f>ROUND(F_19_30*G_19,2)</f>
        <v>0</v>
      </c>
      <c r="D26" s="2">
        <f>ROUND(F_19_60*G_19,2)</f>
        <v>0</v>
      </c>
      <c r="E26" s="2">
        <f>ROUND(F_19_90*G_19,2)</f>
        <v>0</v>
      </c>
      <c r="F26" s="2">
        <f>ROUND(F_19_120*G_19,2)</f>
        <v>0</v>
      </c>
      <c r="G26" s="2">
        <f>ROUND(F_19_150*G_19,2)</f>
        <v>0</v>
      </c>
      <c r="H26" s="2">
        <f>ROUND(F_19_180*G_19,2)</f>
        <v>0</v>
      </c>
      <c r="I26" s="2">
        <f>ROUND(F_19_210*G_19,2)</f>
        <v>0</v>
      </c>
      <c r="J26" s="2">
        <f>ROUND(F_19_240*G_19,2)</f>
        <v>0</v>
      </c>
      <c r="K26" s="2">
        <f>ROUND(F_19_270*G_19,2)</f>
        <v>0</v>
      </c>
      <c r="L26" s="2">
        <f>ROUND(F_19_300*G_19,2)</f>
        <v>0</v>
      </c>
      <c r="M26" s="2">
        <f>ROUND(F_19_330*G_19,2)</f>
        <v>0</v>
      </c>
      <c r="N26" s="2">
        <f>ROUND(F_19_360*G_19,2)</f>
        <v>0</v>
      </c>
      <c r="O26" s="2">
        <f>ROUND(F_19_390*G_19,2)</f>
        <v>0</v>
      </c>
      <c r="P26" s="2">
        <f>ROUND(F_19_420*G_19,2)</f>
        <v>0</v>
      </c>
      <c r="Q26" s="2">
        <f>ROUND(F_19_450*G_19,2)</f>
        <v>0</v>
      </c>
      <c r="R26" s="2">
        <f>ROUND(F_19_480*G_19,2)</f>
        <v>0</v>
      </c>
      <c r="S26" s="2">
        <f>ROUND(F_19_510*G_19,2)</f>
        <v>0</v>
      </c>
      <c r="T26" s="2">
        <f>ROUND(F_19_540*G_19,2)</f>
        <v>0</v>
      </c>
      <c r="U26" s="2">
        <f>ROUND(F_19_570*G_19,2)</f>
        <v>0</v>
      </c>
      <c r="V26" s="2">
        <f>ROUND(F_19_600*G_19,2)</f>
        <v>0</v>
      </c>
      <c r="W26" s="2">
        <f>ROUND(F_19_630*G_19,2)</f>
        <v>0</v>
      </c>
      <c r="X26" s="2">
        <f>ROUND(F_19_660*G_19,2)</f>
        <v>0</v>
      </c>
      <c r="Y26" s="2">
        <f>ROUND(F_19_690*G_19,2)</f>
        <v>0</v>
      </c>
      <c r="Z26" s="2">
        <f>ROUND(F_19_720*G_19,2)</f>
        <v>0</v>
      </c>
      <c r="AA26" s="41">
        <f>IF((Y26-Z26)&gt;ABS(0.01),"CUIDADO",0)</f>
        <v>0</v>
      </c>
      <c r="AB26" s="42">
        <f>SUM(C26:Z26)</f>
        <v>0</v>
      </c>
      <c r="AC26" s="43">
        <f>G_19</f>
        <v>0</v>
      </c>
    </row>
    <row r="27" spans="1:29" s="4" customFormat="1" ht="18" hidden="1" customHeight="1">
      <c r="A27" s="21" t="str">
        <f>Planilha!$B$1638</f>
        <v>20</v>
      </c>
      <c r="B27" s="22" t="str">
        <f>Planilha!$C$1638</f>
        <v>GRUPO 20</v>
      </c>
      <c r="C27" s="2">
        <f>ROUND(F_20_30*G_20,2)</f>
        <v>0</v>
      </c>
      <c r="D27" s="2">
        <f>ROUND(F_20_60*G_20,2)</f>
        <v>0</v>
      </c>
      <c r="E27" s="2">
        <f>ROUND(F_20_90*G_20,2)</f>
        <v>0</v>
      </c>
      <c r="F27" s="2">
        <f>ROUND(F_20_120*G_20,2)</f>
        <v>0</v>
      </c>
      <c r="G27" s="2">
        <f>ROUND(F_20_150*G_20,2)</f>
        <v>0</v>
      </c>
      <c r="H27" s="2">
        <f>ROUND(F_20_180*G_20,2)</f>
        <v>0</v>
      </c>
      <c r="I27" s="2">
        <f>ROUND(F_20_210*G_20,2)</f>
        <v>0</v>
      </c>
      <c r="J27" s="2">
        <f>ROUND(F_20_240*G_20,2)</f>
        <v>0</v>
      </c>
      <c r="K27" s="2">
        <f>ROUND(F_20_270*G_20,2)</f>
        <v>0</v>
      </c>
      <c r="L27" s="2">
        <f>ROUND(F_20_300*G_20,2)</f>
        <v>0</v>
      </c>
      <c r="M27" s="2">
        <f>ROUND(F_20_330*G_20,2)</f>
        <v>0</v>
      </c>
      <c r="N27" s="2">
        <f>ROUND(F_20_360*G_20,2)</f>
        <v>0</v>
      </c>
      <c r="O27" s="2">
        <f>ROUND(F_20_390*G_20,2)</f>
        <v>0</v>
      </c>
      <c r="P27" s="2">
        <f>ROUND(F_20_420*G_20,2)</f>
        <v>0</v>
      </c>
      <c r="Q27" s="2">
        <f>ROUND(F_20_450*G_20,2)</f>
        <v>0</v>
      </c>
      <c r="R27" s="2">
        <f>ROUND(F_20_480*G_20,2)</f>
        <v>0</v>
      </c>
      <c r="S27" s="2">
        <f>ROUND(F_20_510*G_20,2)</f>
        <v>0</v>
      </c>
      <c r="T27" s="2">
        <f>ROUND(F_20_540*G_20,2)</f>
        <v>0</v>
      </c>
      <c r="U27" s="2">
        <f>ROUND(F_20_570*G_20,2)</f>
        <v>0</v>
      </c>
      <c r="V27" s="2">
        <f>ROUND(F_20_600*G_20,2)</f>
        <v>0</v>
      </c>
      <c r="W27" s="2">
        <f>ROUND(F_20_630*G_20,2)</f>
        <v>0</v>
      </c>
      <c r="X27" s="2">
        <f>ROUND(F_20_660*G_20,2)</f>
        <v>0</v>
      </c>
      <c r="Y27" s="2">
        <f>ROUND(F_20_690*G_20,2)</f>
        <v>0</v>
      </c>
      <c r="Z27" s="2">
        <f>ROUND(F_20_720*G_20,2)</f>
        <v>0</v>
      </c>
      <c r="AA27" s="41">
        <f>IF((Y27-Z27)&gt;ABS(0.01),"CUIDADO",0)</f>
        <v>0</v>
      </c>
      <c r="AB27" s="42">
        <f>SUM(C27:Z27)</f>
        <v>0</v>
      </c>
      <c r="AC27" s="43">
        <f>G_20</f>
        <v>0</v>
      </c>
    </row>
    <row r="28" spans="1:29" s="4" customFormat="1" ht="13.5" customHeight="1">
      <c r="A28" s="5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6"/>
      <c r="AC28" s="16"/>
    </row>
    <row r="29" spans="1:29" s="4" customFormat="1" ht="13.5" customHeight="1">
      <c r="A29" s="5"/>
      <c r="B29" s="23" t="s">
        <v>857</v>
      </c>
      <c r="C29" s="2">
        <f>SUM(C8:C27)</f>
        <v>362087.58000000007</v>
      </c>
      <c r="D29" s="2">
        <f t="shared" ref="D29:H29" si="3">SUM(D8:D27)</f>
        <v>362087.58000000007</v>
      </c>
      <c r="E29" s="2">
        <f t="shared" si="3"/>
        <v>362087.58000000007</v>
      </c>
      <c r="F29" s="2">
        <f t="shared" si="3"/>
        <v>362087.58000000007</v>
      </c>
      <c r="G29" s="2">
        <f t="shared" si="3"/>
        <v>362087.58000000007</v>
      </c>
      <c r="H29" s="2">
        <f t="shared" si="3"/>
        <v>370812.58999999997</v>
      </c>
      <c r="I29" s="2">
        <f t="shared" ref="I29:T29" si="4">SUM(I8:I27)</f>
        <v>0</v>
      </c>
      <c r="J29" s="2">
        <f t="shared" si="4"/>
        <v>0</v>
      </c>
      <c r="K29" s="2">
        <f t="shared" si="4"/>
        <v>0</v>
      </c>
      <c r="L29" s="2">
        <f t="shared" si="4"/>
        <v>0</v>
      </c>
      <c r="M29" s="2">
        <f t="shared" si="4"/>
        <v>0</v>
      </c>
      <c r="N29" s="2">
        <f t="shared" si="4"/>
        <v>0</v>
      </c>
      <c r="O29" s="2">
        <f t="shared" si="4"/>
        <v>0</v>
      </c>
      <c r="P29" s="2">
        <f t="shared" si="4"/>
        <v>0</v>
      </c>
      <c r="Q29" s="2">
        <f t="shared" si="4"/>
        <v>0</v>
      </c>
      <c r="R29" s="2">
        <f t="shared" si="4"/>
        <v>0</v>
      </c>
      <c r="S29" s="2">
        <f t="shared" si="4"/>
        <v>0</v>
      </c>
      <c r="T29" s="2">
        <f t="shared" si="4"/>
        <v>0</v>
      </c>
      <c r="U29" s="2">
        <f t="shared" ref="U29:Z29" si="5">SUM(U8:U27)</f>
        <v>0</v>
      </c>
      <c r="V29" s="2">
        <f t="shared" si="5"/>
        <v>0</v>
      </c>
      <c r="W29" s="2">
        <f t="shared" si="5"/>
        <v>0</v>
      </c>
      <c r="X29" s="2">
        <f t="shared" si="5"/>
        <v>0</v>
      </c>
      <c r="Y29" s="2">
        <f t="shared" si="5"/>
        <v>0</v>
      </c>
      <c r="Z29" s="2">
        <f t="shared" si="5"/>
        <v>0</v>
      </c>
      <c r="AA29" s="1"/>
      <c r="AB29" s="16"/>
      <c r="AC29" s="16"/>
    </row>
    <row r="30" spans="1:29" s="4" customFormat="1" ht="13.5" customHeight="1">
      <c r="A30" s="5"/>
      <c r="B30" s="23" t="s">
        <v>858</v>
      </c>
      <c r="C30" s="2">
        <f>C29</f>
        <v>362087.58000000007</v>
      </c>
      <c r="D30" s="2">
        <f>D29+C30</f>
        <v>724175.16000000015</v>
      </c>
      <c r="E30" s="2">
        <f t="shared" ref="E30:H30" si="6">E29+D30</f>
        <v>1086262.7400000002</v>
      </c>
      <c r="F30" s="2">
        <f t="shared" si="6"/>
        <v>1448350.3200000003</v>
      </c>
      <c r="G30" s="2">
        <f t="shared" si="6"/>
        <v>1810437.9000000004</v>
      </c>
      <c r="H30" s="2">
        <f t="shared" si="6"/>
        <v>2181250.4900000002</v>
      </c>
      <c r="I30" s="2">
        <f t="shared" ref="I30:P30" si="7">I29+H30</f>
        <v>2181250.4900000002</v>
      </c>
      <c r="J30" s="2">
        <f t="shared" si="7"/>
        <v>2181250.4900000002</v>
      </c>
      <c r="K30" s="2">
        <f t="shared" si="7"/>
        <v>2181250.4900000002</v>
      </c>
      <c r="L30" s="2">
        <f t="shared" si="7"/>
        <v>2181250.4900000002</v>
      </c>
      <c r="M30" s="2">
        <f t="shared" si="7"/>
        <v>2181250.4900000002</v>
      </c>
      <c r="N30" s="2">
        <f t="shared" si="7"/>
        <v>2181250.4900000002</v>
      </c>
      <c r="O30" s="2">
        <f t="shared" si="7"/>
        <v>2181250.4900000002</v>
      </c>
      <c r="P30" s="2">
        <f t="shared" si="7"/>
        <v>2181250.4900000002</v>
      </c>
      <c r="Q30" s="2">
        <f t="shared" ref="Q30:Y30" si="8">Q29+P30</f>
        <v>2181250.4900000002</v>
      </c>
      <c r="R30" s="2">
        <f t="shared" si="8"/>
        <v>2181250.4900000002</v>
      </c>
      <c r="S30" s="2">
        <f t="shared" si="8"/>
        <v>2181250.4900000002</v>
      </c>
      <c r="T30" s="2">
        <f t="shared" si="8"/>
        <v>2181250.4900000002</v>
      </c>
      <c r="U30" s="2">
        <f t="shared" si="8"/>
        <v>2181250.4900000002</v>
      </c>
      <c r="V30" s="2">
        <f t="shared" si="8"/>
        <v>2181250.4900000002</v>
      </c>
      <c r="W30" s="2">
        <f t="shared" si="8"/>
        <v>2181250.4900000002</v>
      </c>
      <c r="X30" s="2">
        <f t="shared" si="8"/>
        <v>2181250.4900000002</v>
      </c>
      <c r="Y30" s="2">
        <f t="shared" si="8"/>
        <v>2181250.4900000002</v>
      </c>
      <c r="Z30" s="2">
        <f>TOTAL_GERAL</f>
        <v>2181250.4900000002</v>
      </c>
      <c r="AA30" s="1"/>
      <c r="AB30" s="16"/>
      <c r="AC30" s="16"/>
    </row>
    <row r="31" spans="1:29" s="4" customFormat="1" ht="13.5" customHeight="1">
      <c r="A31" s="5"/>
      <c r="B31" s="23" t="s">
        <v>859</v>
      </c>
      <c r="C31" s="24">
        <f t="shared" ref="C31:Z31" si="9">IF(TOTAL_GERAL=0,0,C29/TOTAL_GERAL)</f>
        <v>0.1659999993856735</v>
      </c>
      <c r="D31" s="24">
        <f t="shared" si="9"/>
        <v>0.1659999993856735</v>
      </c>
      <c r="E31" s="24">
        <f t="shared" si="9"/>
        <v>0.1659999993856735</v>
      </c>
      <c r="F31" s="24">
        <f t="shared" si="9"/>
        <v>0.1659999993856735</v>
      </c>
      <c r="G31" s="24">
        <f t="shared" si="9"/>
        <v>0.1659999993856735</v>
      </c>
      <c r="H31" s="24">
        <f t="shared" si="9"/>
        <v>0.17000000307163252</v>
      </c>
      <c r="I31" s="24">
        <f t="shared" si="9"/>
        <v>0</v>
      </c>
      <c r="J31" s="24">
        <f t="shared" si="9"/>
        <v>0</v>
      </c>
      <c r="K31" s="24">
        <f t="shared" si="9"/>
        <v>0</v>
      </c>
      <c r="L31" s="24">
        <f t="shared" si="9"/>
        <v>0</v>
      </c>
      <c r="M31" s="24">
        <f t="shared" si="9"/>
        <v>0</v>
      </c>
      <c r="N31" s="24">
        <f t="shared" si="9"/>
        <v>0</v>
      </c>
      <c r="O31" s="24">
        <f t="shared" si="9"/>
        <v>0</v>
      </c>
      <c r="P31" s="24">
        <f t="shared" si="9"/>
        <v>0</v>
      </c>
      <c r="Q31" s="24">
        <f t="shared" si="9"/>
        <v>0</v>
      </c>
      <c r="R31" s="24">
        <f t="shared" si="9"/>
        <v>0</v>
      </c>
      <c r="S31" s="24">
        <f t="shared" si="9"/>
        <v>0</v>
      </c>
      <c r="T31" s="24">
        <f t="shared" si="9"/>
        <v>0</v>
      </c>
      <c r="U31" s="24">
        <f t="shared" si="9"/>
        <v>0</v>
      </c>
      <c r="V31" s="24">
        <f t="shared" si="9"/>
        <v>0</v>
      </c>
      <c r="W31" s="24">
        <f t="shared" si="9"/>
        <v>0</v>
      </c>
      <c r="X31" s="24">
        <f t="shared" si="9"/>
        <v>0</v>
      </c>
      <c r="Y31" s="24">
        <f t="shared" si="9"/>
        <v>0</v>
      </c>
      <c r="Z31" s="24">
        <f t="shared" si="9"/>
        <v>0</v>
      </c>
      <c r="AA31" s="1"/>
      <c r="AB31" s="16"/>
      <c r="AC31" s="16"/>
    </row>
    <row r="32" spans="1:29" s="4" customFormat="1" ht="13.5" customHeight="1">
      <c r="A32" s="5"/>
      <c r="B32" s="23" t="s">
        <v>860</v>
      </c>
      <c r="C32" s="25">
        <f>C31</f>
        <v>0.1659999993856735</v>
      </c>
      <c r="D32" s="25">
        <f t="shared" ref="D32:M32" si="10">D31+C32</f>
        <v>0.331999998771347</v>
      </c>
      <c r="E32" s="25">
        <f t="shared" ref="E32" si="11">E31+D32</f>
        <v>0.49799999815702051</v>
      </c>
      <c r="F32" s="25">
        <f t="shared" ref="F32" si="12">F31+E32</f>
        <v>0.66399999754269401</v>
      </c>
      <c r="G32" s="25">
        <f t="shared" ref="G32" si="13">G31+F32</f>
        <v>0.82999999692836757</v>
      </c>
      <c r="H32" s="25">
        <f t="shared" ref="H32" si="14">H31+G32</f>
        <v>1</v>
      </c>
      <c r="I32" s="25">
        <f t="shared" si="10"/>
        <v>1</v>
      </c>
      <c r="J32" s="25">
        <f t="shared" si="10"/>
        <v>1</v>
      </c>
      <c r="K32" s="25">
        <f t="shared" si="10"/>
        <v>1</v>
      </c>
      <c r="L32" s="25">
        <f t="shared" si="10"/>
        <v>1</v>
      </c>
      <c r="M32" s="25">
        <f t="shared" si="10"/>
        <v>1</v>
      </c>
      <c r="N32" s="25">
        <f t="shared" ref="N32:Y32" si="15">N31+M32</f>
        <v>1</v>
      </c>
      <c r="O32" s="25">
        <f t="shared" si="15"/>
        <v>1</v>
      </c>
      <c r="P32" s="25">
        <f t="shared" si="15"/>
        <v>1</v>
      </c>
      <c r="Q32" s="25">
        <f t="shared" si="15"/>
        <v>1</v>
      </c>
      <c r="R32" s="25">
        <f t="shared" si="15"/>
        <v>1</v>
      </c>
      <c r="S32" s="25">
        <f t="shared" si="15"/>
        <v>1</v>
      </c>
      <c r="T32" s="25">
        <f t="shared" si="15"/>
        <v>1</v>
      </c>
      <c r="U32" s="25">
        <f t="shared" si="15"/>
        <v>1</v>
      </c>
      <c r="V32" s="25">
        <f t="shared" si="15"/>
        <v>1</v>
      </c>
      <c r="W32" s="25">
        <f t="shared" si="15"/>
        <v>1</v>
      </c>
      <c r="X32" s="25">
        <f t="shared" si="15"/>
        <v>1</v>
      </c>
      <c r="Y32" s="25">
        <f t="shared" si="15"/>
        <v>1</v>
      </c>
      <c r="Z32" s="25">
        <f>1</f>
        <v>1</v>
      </c>
      <c r="AA32" s="1"/>
      <c r="AB32" s="16"/>
      <c r="AC32" s="16"/>
    </row>
    <row r="33" spans="1:29" s="4" customFormat="1" ht="18" customHeight="1">
      <c r="A33" s="5"/>
      <c r="B33" s="2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"/>
      <c r="AB33" s="16"/>
      <c r="AC33" s="16"/>
    </row>
    <row r="34" spans="1:29" s="4" customFormat="1" ht="18" customHeight="1">
      <c r="A34" s="5"/>
      <c r="B34" s="23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"/>
      <c r="AB34" s="16"/>
      <c r="AC34" s="16"/>
    </row>
    <row r="35" spans="1:29" s="28" customFormat="1" ht="20.100000000000001" customHeight="1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  <c r="AC35" s="30"/>
    </row>
    <row r="36" spans="1:29" s="31" customFormat="1" ht="20.100000000000001" customHeight="1">
      <c r="B36" s="33" t="s">
        <v>861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16"/>
      <c r="AC36" s="16"/>
    </row>
    <row r="37" spans="1:29" s="4" customFormat="1" ht="20.100000000000001" customHeight="1">
      <c r="C37" s="3">
        <f t="shared" ref="C37:Z37" si="16">C7</f>
        <v>30</v>
      </c>
      <c r="D37" s="3">
        <f t="shared" si="16"/>
        <v>60</v>
      </c>
      <c r="E37" s="3">
        <f t="shared" si="16"/>
        <v>90</v>
      </c>
      <c r="F37" s="3">
        <f t="shared" si="16"/>
        <v>120</v>
      </c>
      <c r="G37" s="3">
        <f t="shared" si="16"/>
        <v>150</v>
      </c>
      <c r="H37" s="3">
        <f t="shared" si="16"/>
        <v>180</v>
      </c>
      <c r="I37" s="3">
        <f t="shared" si="16"/>
        <v>210</v>
      </c>
      <c r="J37" s="3">
        <f t="shared" si="16"/>
        <v>240</v>
      </c>
      <c r="K37" s="3">
        <f t="shared" si="16"/>
        <v>270</v>
      </c>
      <c r="L37" s="3">
        <f t="shared" si="16"/>
        <v>300</v>
      </c>
      <c r="M37" s="3">
        <f t="shared" si="16"/>
        <v>330</v>
      </c>
      <c r="N37" s="3">
        <f t="shared" si="16"/>
        <v>360</v>
      </c>
      <c r="O37" s="3">
        <f t="shared" si="16"/>
        <v>390</v>
      </c>
      <c r="P37" s="3">
        <f t="shared" si="16"/>
        <v>420</v>
      </c>
      <c r="Q37" s="3">
        <f t="shared" si="16"/>
        <v>450</v>
      </c>
      <c r="R37" s="3">
        <f t="shared" si="16"/>
        <v>480</v>
      </c>
      <c r="S37" s="3">
        <f t="shared" si="16"/>
        <v>510</v>
      </c>
      <c r="T37" s="3">
        <f t="shared" si="16"/>
        <v>540</v>
      </c>
      <c r="U37" s="3">
        <f t="shared" si="16"/>
        <v>570</v>
      </c>
      <c r="V37" s="3">
        <f t="shared" si="16"/>
        <v>600</v>
      </c>
      <c r="W37" s="3">
        <f t="shared" si="16"/>
        <v>630</v>
      </c>
      <c r="X37" s="3">
        <f t="shared" si="16"/>
        <v>660</v>
      </c>
      <c r="Y37" s="3">
        <f t="shared" si="16"/>
        <v>690</v>
      </c>
      <c r="Z37" s="3">
        <f t="shared" si="16"/>
        <v>720</v>
      </c>
      <c r="AA37" s="1"/>
      <c r="AB37" s="16"/>
      <c r="AC37" s="16"/>
    </row>
    <row r="38" spans="1:29" s="4" customFormat="1" ht="20.100000000000001" customHeight="1">
      <c r="C38" s="1">
        <f t="shared" ref="C38:Z38" si="17">C29</f>
        <v>362087.58000000007</v>
      </c>
      <c r="D38" s="1">
        <f t="shared" si="17"/>
        <v>362087.58000000007</v>
      </c>
      <c r="E38" s="1">
        <f t="shared" si="17"/>
        <v>362087.58000000007</v>
      </c>
      <c r="F38" s="1">
        <f t="shared" si="17"/>
        <v>362087.58000000007</v>
      </c>
      <c r="G38" s="1">
        <f t="shared" si="17"/>
        <v>362087.58000000007</v>
      </c>
      <c r="H38" s="1">
        <f t="shared" si="17"/>
        <v>370812.58999999997</v>
      </c>
      <c r="I38" s="1">
        <f t="shared" si="17"/>
        <v>0</v>
      </c>
      <c r="J38" s="1">
        <f t="shared" si="17"/>
        <v>0</v>
      </c>
      <c r="K38" s="1">
        <f t="shared" si="17"/>
        <v>0</v>
      </c>
      <c r="L38" s="1">
        <f t="shared" si="17"/>
        <v>0</v>
      </c>
      <c r="M38" s="1">
        <f t="shared" si="17"/>
        <v>0</v>
      </c>
      <c r="N38" s="1">
        <f t="shared" si="17"/>
        <v>0</v>
      </c>
      <c r="O38" s="1">
        <f t="shared" si="17"/>
        <v>0</v>
      </c>
      <c r="P38" s="1">
        <f t="shared" si="17"/>
        <v>0</v>
      </c>
      <c r="Q38" s="1">
        <f t="shared" si="17"/>
        <v>0</v>
      </c>
      <c r="R38" s="1">
        <f t="shared" si="17"/>
        <v>0</v>
      </c>
      <c r="S38" s="1">
        <f t="shared" si="17"/>
        <v>0</v>
      </c>
      <c r="T38" s="1">
        <f t="shared" si="17"/>
        <v>0</v>
      </c>
      <c r="U38" s="1">
        <f t="shared" si="17"/>
        <v>0</v>
      </c>
      <c r="V38" s="1">
        <f t="shared" si="17"/>
        <v>0</v>
      </c>
      <c r="W38" s="1">
        <f t="shared" si="17"/>
        <v>0</v>
      </c>
      <c r="X38" s="1">
        <f t="shared" si="17"/>
        <v>0</v>
      </c>
      <c r="Y38" s="1">
        <f t="shared" si="17"/>
        <v>0</v>
      </c>
      <c r="Z38" s="1">
        <f t="shared" si="17"/>
        <v>0</v>
      </c>
      <c r="AA38" s="1"/>
      <c r="AB38" s="16"/>
      <c r="AC38" s="16"/>
    </row>
    <row r="39" spans="1:29" s="4" customFormat="1" ht="20.100000000000001" customHeight="1">
      <c r="C39" s="26">
        <f t="shared" ref="C39:Z39" si="18">C7</f>
        <v>30</v>
      </c>
      <c r="D39" s="26">
        <f t="shared" si="18"/>
        <v>60</v>
      </c>
      <c r="E39" s="26">
        <f t="shared" si="18"/>
        <v>90</v>
      </c>
      <c r="F39" s="26">
        <f t="shared" si="18"/>
        <v>120</v>
      </c>
      <c r="G39" s="26">
        <f t="shared" si="18"/>
        <v>150</v>
      </c>
      <c r="H39" s="26">
        <f t="shared" si="18"/>
        <v>180</v>
      </c>
      <c r="I39" s="26">
        <f t="shared" si="18"/>
        <v>210</v>
      </c>
      <c r="J39" s="26">
        <f t="shared" si="18"/>
        <v>240</v>
      </c>
      <c r="K39" s="26">
        <f t="shared" si="18"/>
        <v>270</v>
      </c>
      <c r="L39" s="26">
        <f t="shared" si="18"/>
        <v>300</v>
      </c>
      <c r="M39" s="26">
        <f t="shared" si="18"/>
        <v>330</v>
      </c>
      <c r="N39" s="26">
        <f t="shared" si="18"/>
        <v>360</v>
      </c>
      <c r="O39" s="26">
        <f t="shared" si="18"/>
        <v>390</v>
      </c>
      <c r="P39" s="26">
        <f t="shared" si="18"/>
        <v>420</v>
      </c>
      <c r="Q39" s="26">
        <f t="shared" si="18"/>
        <v>450</v>
      </c>
      <c r="R39" s="26">
        <f t="shared" si="18"/>
        <v>480</v>
      </c>
      <c r="S39" s="26">
        <f t="shared" si="18"/>
        <v>510</v>
      </c>
      <c r="T39" s="26">
        <f t="shared" si="18"/>
        <v>540</v>
      </c>
      <c r="U39" s="26">
        <f t="shared" si="18"/>
        <v>570</v>
      </c>
      <c r="V39" s="26">
        <f t="shared" si="18"/>
        <v>600</v>
      </c>
      <c r="W39" s="26">
        <f t="shared" si="18"/>
        <v>630</v>
      </c>
      <c r="X39" s="26">
        <f t="shared" si="18"/>
        <v>660</v>
      </c>
      <c r="Y39" s="26">
        <f t="shared" si="18"/>
        <v>690</v>
      </c>
      <c r="Z39" s="26">
        <f t="shared" si="18"/>
        <v>720</v>
      </c>
      <c r="AA39" s="1"/>
      <c r="AB39" s="16"/>
      <c r="AC39" s="16"/>
    </row>
    <row r="40" spans="1:29" s="4" customFormat="1" ht="20.100000000000001" customHeight="1">
      <c r="C40" s="1">
        <f t="shared" ref="C40:Z40" si="19">C30</f>
        <v>362087.58000000007</v>
      </c>
      <c r="D40" s="1">
        <f t="shared" si="19"/>
        <v>724175.16000000015</v>
      </c>
      <c r="E40" s="1">
        <f t="shared" si="19"/>
        <v>1086262.7400000002</v>
      </c>
      <c r="F40" s="1">
        <f t="shared" si="19"/>
        <v>1448350.3200000003</v>
      </c>
      <c r="G40" s="1">
        <f t="shared" si="19"/>
        <v>1810437.9000000004</v>
      </c>
      <c r="H40" s="1">
        <f t="shared" si="19"/>
        <v>2181250.4900000002</v>
      </c>
      <c r="I40" s="1">
        <f t="shared" si="19"/>
        <v>2181250.4900000002</v>
      </c>
      <c r="J40" s="1">
        <f t="shared" si="19"/>
        <v>2181250.4900000002</v>
      </c>
      <c r="K40" s="1">
        <f t="shared" si="19"/>
        <v>2181250.4900000002</v>
      </c>
      <c r="L40" s="1">
        <f t="shared" si="19"/>
        <v>2181250.4900000002</v>
      </c>
      <c r="M40" s="1">
        <f t="shared" si="19"/>
        <v>2181250.4900000002</v>
      </c>
      <c r="N40" s="1">
        <f t="shared" si="19"/>
        <v>2181250.4900000002</v>
      </c>
      <c r="O40" s="1">
        <f t="shared" si="19"/>
        <v>2181250.4900000002</v>
      </c>
      <c r="P40" s="1">
        <f t="shared" si="19"/>
        <v>2181250.4900000002</v>
      </c>
      <c r="Q40" s="1">
        <f t="shared" si="19"/>
        <v>2181250.4900000002</v>
      </c>
      <c r="R40" s="1">
        <f t="shared" si="19"/>
        <v>2181250.4900000002</v>
      </c>
      <c r="S40" s="1">
        <f t="shared" si="19"/>
        <v>2181250.4900000002</v>
      </c>
      <c r="T40" s="1">
        <f t="shared" si="19"/>
        <v>2181250.4900000002</v>
      </c>
      <c r="U40" s="1">
        <f t="shared" si="19"/>
        <v>2181250.4900000002</v>
      </c>
      <c r="V40" s="1">
        <f t="shared" si="19"/>
        <v>2181250.4900000002</v>
      </c>
      <c r="W40" s="1">
        <f t="shared" si="19"/>
        <v>2181250.4900000002</v>
      </c>
      <c r="X40" s="1">
        <f t="shared" si="19"/>
        <v>2181250.4900000002</v>
      </c>
      <c r="Y40" s="1">
        <f t="shared" si="19"/>
        <v>2181250.4900000002</v>
      </c>
      <c r="Z40" s="1">
        <f t="shared" si="19"/>
        <v>2181250.4900000002</v>
      </c>
      <c r="AA40" s="1"/>
      <c r="AB40" s="16"/>
      <c r="AC40" s="16"/>
    </row>
    <row r="41" spans="1:29" s="4" customFormat="1" ht="20.100000000000001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6"/>
      <c r="AC41" s="16"/>
    </row>
    <row r="42" spans="1:29" s="4" customForma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6"/>
      <c r="AC42" s="16"/>
    </row>
    <row r="43" spans="1:29" s="4" customForma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6"/>
      <c r="AC43" s="16"/>
    </row>
    <row r="44" spans="1:29" s="4" customForma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6"/>
      <c r="AC44" s="16"/>
    </row>
    <row r="45" spans="1:29" s="4" customForma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6"/>
      <c r="AC45" s="16"/>
    </row>
    <row r="46" spans="1:29" s="4" customForma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6"/>
      <c r="AC46" s="16"/>
    </row>
    <row r="47" spans="1:29" s="4" customForma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</row>
    <row r="48" spans="1:29" s="4" customForma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6"/>
      <c r="AC48" s="16"/>
    </row>
    <row r="49" spans="3:29" s="4" customForma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6"/>
      <c r="AC49" s="16"/>
    </row>
    <row r="50" spans="3:29" s="4" customForma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6"/>
      <c r="AC50" s="16"/>
    </row>
    <row r="51" spans="3:29" s="4" customForma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6"/>
      <c r="AC51" s="16"/>
    </row>
    <row r="52" spans="3:29" s="4" customForma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6"/>
      <c r="AC52" s="16"/>
    </row>
    <row r="53" spans="3:29" s="4" customForma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6"/>
      <c r="AC53" s="16"/>
    </row>
    <row r="54" spans="3:29" s="4" customForma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6"/>
      <c r="AC54" s="16"/>
    </row>
    <row r="55" spans="3:29" s="4" customForma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6"/>
      <c r="AC55" s="16"/>
    </row>
    <row r="56" spans="3:29" s="4" customForma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6"/>
      <c r="AC56" s="16"/>
    </row>
    <row r="57" spans="3:29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7"/>
      <c r="AC57" s="17"/>
    </row>
    <row r="58" spans="3:29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7"/>
      <c r="AC58" s="17"/>
    </row>
    <row r="59" spans="3:29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7"/>
      <c r="AC59" s="17"/>
    </row>
    <row r="60" spans="3:29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7"/>
      <c r="AC60" s="17"/>
    </row>
    <row r="61" spans="3:29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7"/>
      <c r="AC61" s="17"/>
    </row>
    <row r="62" spans="3:29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7"/>
      <c r="AC62" s="17"/>
    </row>
    <row r="63" spans="3:29">
      <c r="AB63" s="17"/>
      <c r="AC63" s="17"/>
    </row>
    <row r="64" spans="3:29">
      <c r="AB64" s="17"/>
      <c r="AC64" s="17"/>
    </row>
    <row r="65" spans="28:29">
      <c r="AB65" s="17"/>
      <c r="AC65" s="17"/>
    </row>
    <row r="66" spans="28:29">
      <c r="AB66" s="17"/>
      <c r="AC66" s="17"/>
    </row>
    <row r="67" spans="28:29">
      <c r="AB67" s="17"/>
      <c r="AC67" s="17"/>
    </row>
    <row r="68" spans="28:29">
      <c r="AB68" s="17"/>
      <c r="AC68" s="17"/>
    </row>
    <row r="69" spans="28:29">
      <c r="AB69" s="17"/>
      <c r="AC69" s="17"/>
    </row>
    <row r="70" spans="28:29">
      <c r="AB70" s="17"/>
      <c r="AC70" s="17"/>
    </row>
    <row r="71" spans="28:29">
      <c r="AB71" s="17"/>
      <c r="AC71" s="17"/>
    </row>
    <row r="72" spans="28:29">
      <c r="AB72" s="17"/>
      <c r="AC72" s="17"/>
    </row>
    <row r="73" spans="28:29">
      <c r="AB73" s="17"/>
      <c r="AC73" s="17"/>
    </row>
    <row r="74" spans="28:29">
      <c r="AB74" s="17"/>
      <c r="AC74" s="17"/>
    </row>
    <row r="75" spans="28:29">
      <c r="AB75" s="17"/>
      <c r="AC75" s="17"/>
    </row>
    <row r="76" spans="28:29">
      <c r="AB76" s="17"/>
      <c r="AC76" s="17"/>
    </row>
    <row r="77" spans="28:29">
      <c r="AB77" s="17"/>
      <c r="AC77" s="17"/>
    </row>
    <row r="78" spans="28:29">
      <c r="AB78" s="17"/>
      <c r="AC78" s="17"/>
    </row>
    <row r="79" spans="28:29">
      <c r="AB79" s="17"/>
      <c r="AC79" s="17"/>
    </row>
    <row r="80" spans="28:29">
      <c r="AB80" s="17"/>
      <c r="AC80" s="17"/>
    </row>
    <row r="81" spans="28:29">
      <c r="AB81" s="17"/>
      <c r="AC81" s="17"/>
    </row>
    <row r="82" spans="28:29">
      <c r="AB82" s="17"/>
      <c r="AC82" s="17"/>
    </row>
    <row r="83" spans="28:29">
      <c r="AB83" s="17"/>
      <c r="AC83" s="17"/>
    </row>
    <row r="84" spans="28:29">
      <c r="AB84" s="17"/>
      <c r="AC84" s="17"/>
    </row>
    <row r="85" spans="28:29">
      <c r="AB85" s="17"/>
      <c r="AC85" s="17"/>
    </row>
    <row r="86" spans="28:29">
      <c r="AB86" s="17"/>
      <c r="AC86" s="17"/>
    </row>
    <row r="87" spans="28:29">
      <c r="AB87" s="17"/>
      <c r="AC87" s="17"/>
    </row>
    <row r="88" spans="28:29">
      <c r="AB88" s="17"/>
      <c r="AC88" s="17"/>
    </row>
    <row r="89" spans="28:29">
      <c r="AB89" s="17"/>
      <c r="AC89" s="17"/>
    </row>
    <row r="90" spans="28:29">
      <c r="AB90" s="17"/>
      <c r="AC90" s="17"/>
    </row>
    <row r="91" spans="28:29">
      <c r="AB91" s="17"/>
      <c r="AC91" s="17"/>
    </row>
    <row r="92" spans="28:29">
      <c r="AB92" s="17"/>
      <c r="AC92" s="17"/>
    </row>
    <row r="93" spans="28:29">
      <c r="AB93" s="17"/>
      <c r="AC93" s="17"/>
    </row>
    <row r="94" spans="28:29">
      <c r="AB94" s="17"/>
      <c r="AC94" s="17"/>
    </row>
    <row r="95" spans="28:29">
      <c r="AB95" s="17"/>
      <c r="AC95" s="17"/>
    </row>
    <row r="96" spans="28:29">
      <c r="AB96" s="17"/>
      <c r="AC96" s="17"/>
    </row>
    <row r="97" spans="28:29">
      <c r="AB97" s="17"/>
      <c r="AC97" s="17"/>
    </row>
    <row r="98" spans="28:29">
      <c r="AB98" s="17"/>
      <c r="AC98" s="17"/>
    </row>
    <row r="99" spans="28:29">
      <c r="AB99" s="17"/>
      <c r="AC99" s="17"/>
    </row>
    <row r="100" spans="28:29">
      <c r="AB100" s="17"/>
      <c r="AC100" s="17"/>
    </row>
    <row r="101" spans="28:29">
      <c r="AB101" s="17"/>
      <c r="AC101" s="17"/>
    </row>
    <row r="102" spans="28:29">
      <c r="AB102" s="17"/>
      <c r="AC102" s="17"/>
    </row>
    <row r="103" spans="28:29">
      <c r="AB103" s="17"/>
      <c r="AC103" s="17"/>
    </row>
    <row r="104" spans="28:29">
      <c r="AB104" s="17"/>
      <c r="AC104" s="17"/>
    </row>
    <row r="105" spans="28:29">
      <c r="AB105" s="17"/>
      <c r="AC105" s="17"/>
    </row>
    <row r="106" spans="28:29">
      <c r="AB106" s="17"/>
      <c r="AC106" s="17"/>
    </row>
    <row r="107" spans="28:29">
      <c r="AB107" s="17"/>
      <c r="AC107" s="17"/>
    </row>
    <row r="108" spans="28:29">
      <c r="AB108" s="17"/>
      <c r="AC108" s="17"/>
    </row>
    <row r="109" spans="28:29">
      <c r="AB109" s="17"/>
      <c r="AC109" s="17"/>
    </row>
    <row r="110" spans="28:29">
      <c r="AB110" s="17"/>
      <c r="AC110" s="17"/>
    </row>
    <row r="111" spans="28:29">
      <c r="AB111" s="17"/>
      <c r="AC111" s="17"/>
    </row>
    <row r="112" spans="28:29">
      <c r="AB112" s="17"/>
      <c r="AC112" s="17"/>
    </row>
    <row r="113" spans="28:29">
      <c r="AB113" s="17"/>
      <c r="AC113" s="17"/>
    </row>
    <row r="114" spans="28:29">
      <c r="AB114" s="17"/>
      <c r="AC114" s="17"/>
    </row>
    <row r="115" spans="28:29">
      <c r="AB115" s="17"/>
      <c r="AC115" s="17"/>
    </row>
    <row r="116" spans="28:29">
      <c r="AB116" s="17"/>
      <c r="AC116" s="17"/>
    </row>
    <row r="117" spans="28:29">
      <c r="AB117" s="17"/>
      <c r="AC117" s="17"/>
    </row>
    <row r="118" spans="28:29">
      <c r="AB118" s="17"/>
      <c r="AC118" s="17"/>
    </row>
    <row r="119" spans="28:29">
      <c r="AB119" s="17"/>
      <c r="AC119" s="17"/>
    </row>
    <row r="120" spans="28:29">
      <c r="AB120" s="17"/>
      <c r="AC120" s="17"/>
    </row>
    <row r="121" spans="28:29">
      <c r="AB121" s="17"/>
      <c r="AC121" s="17"/>
    </row>
    <row r="122" spans="28:29">
      <c r="AB122" s="17"/>
      <c r="AC122" s="17"/>
    </row>
    <row r="123" spans="28:29">
      <c r="AB123" s="17"/>
      <c r="AC123" s="17"/>
    </row>
    <row r="124" spans="28:29">
      <c r="AB124" s="17"/>
      <c r="AC124" s="17"/>
    </row>
    <row r="125" spans="28:29">
      <c r="AB125" s="17"/>
      <c r="AC125" s="17"/>
    </row>
    <row r="126" spans="28:29">
      <c r="AB126" s="17"/>
      <c r="AC126" s="17"/>
    </row>
    <row r="127" spans="28:29">
      <c r="AB127" s="17"/>
      <c r="AC127" s="17"/>
    </row>
    <row r="128" spans="28:29">
      <c r="AB128" s="17"/>
      <c r="AC128" s="17"/>
    </row>
    <row r="129" spans="28:29">
      <c r="AB129" s="17"/>
      <c r="AC129" s="17"/>
    </row>
    <row r="130" spans="28:29">
      <c r="AB130" s="17"/>
      <c r="AC130" s="17"/>
    </row>
    <row r="131" spans="28:29">
      <c r="AB131" s="17"/>
      <c r="AC131" s="17"/>
    </row>
    <row r="132" spans="28:29">
      <c r="AB132" s="17"/>
      <c r="AC132" s="17"/>
    </row>
    <row r="133" spans="28:29">
      <c r="AB133" s="17"/>
      <c r="AC133" s="17"/>
    </row>
    <row r="134" spans="28:29">
      <c r="AB134" s="17"/>
      <c r="AC134" s="17"/>
    </row>
    <row r="135" spans="28:29">
      <c r="AB135" s="17"/>
      <c r="AC135" s="17"/>
    </row>
    <row r="136" spans="28:29">
      <c r="AB136" s="17"/>
      <c r="AC136" s="17"/>
    </row>
    <row r="137" spans="28:29">
      <c r="AB137" s="17"/>
      <c r="AC137" s="17"/>
    </row>
    <row r="138" spans="28:29">
      <c r="AB138" s="17"/>
      <c r="AC138" s="17"/>
    </row>
    <row r="139" spans="28:29">
      <c r="AB139" s="17"/>
      <c r="AC139" s="17"/>
    </row>
    <row r="140" spans="28:29">
      <c r="AB140" s="17"/>
      <c r="AC140" s="17"/>
    </row>
    <row r="141" spans="28:29">
      <c r="AB141" s="17"/>
      <c r="AC141" s="17"/>
    </row>
    <row r="142" spans="28:29">
      <c r="AB142" s="17"/>
      <c r="AC142" s="17"/>
    </row>
    <row r="143" spans="28:29">
      <c r="AB143" s="17"/>
      <c r="AC143" s="17"/>
    </row>
    <row r="144" spans="28:29">
      <c r="AB144" s="17"/>
      <c r="AC144" s="17"/>
    </row>
    <row r="145" spans="28:29">
      <c r="AB145" s="17"/>
      <c r="AC145" s="17"/>
    </row>
    <row r="146" spans="28:29">
      <c r="AB146" s="17"/>
      <c r="AC146" s="17"/>
    </row>
    <row r="147" spans="28:29">
      <c r="AB147" s="17"/>
      <c r="AC147" s="17"/>
    </row>
    <row r="148" spans="28:29">
      <c r="AB148" s="17"/>
      <c r="AC148" s="17"/>
    </row>
    <row r="149" spans="28:29">
      <c r="AB149" s="17"/>
      <c r="AC149" s="17"/>
    </row>
    <row r="150" spans="28:29">
      <c r="AB150" s="17"/>
      <c r="AC150" s="17"/>
    </row>
    <row r="151" spans="28:29">
      <c r="AB151" s="17"/>
      <c r="AC151" s="17"/>
    </row>
    <row r="152" spans="28:29">
      <c r="AB152" s="17"/>
      <c r="AC152" s="17"/>
    </row>
    <row r="153" spans="28:29">
      <c r="AB153" s="17"/>
      <c r="AC153" s="17"/>
    </row>
    <row r="154" spans="28:29">
      <c r="AB154" s="17"/>
      <c r="AC154" s="17"/>
    </row>
    <row r="155" spans="28:29">
      <c r="AB155" s="17"/>
      <c r="AC155" s="17"/>
    </row>
    <row r="156" spans="28:29">
      <c r="AB156" s="17"/>
      <c r="AC156" s="17"/>
    </row>
    <row r="157" spans="28:29">
      <c r="AB157" s="17"/>
      <c r="AC157" s="17"/>
    </row>
    <row r="158" spans="28:29">
      <c r="AB158" s="17"/>
      <c r="AC158" s="17"/>
    </row>
    <row r="159" spans="28:29">
      <c r="AB159" s="17"/>
      <c r="AC159" s="17"/>
    </row>
    <row r="160" spans="28:29">
      <c r="AB160" s="17"/>
      <c r="AC160" s="17"/>
    </row>
    <row r="161" spans="28:29">
      <c r="AB161" s="17"/>
      <c r="AC161" s="17"/>
    </row>
    <row r="162" spans="28:29">
      <c r="AB162" s="17"/>
      <c r="AC162" s="17"/>
    </row>
    <row r="163" spans="28:29">
      <c r="AB163" s="17"/>
      <c r="AC163" s="17"/>
    </row>
    <row r="164" spans="28:29">
      <c r="AB164" s="17"/>
      <c r="AC164" s="17"/>
    </row>
    <row r="165" spans="28:29">
      <c r="AB165" s="17"/>
      <c r="AC165" s="17"/>
    </row>
    <row r="166" spans="28:29">
      <c r="AB166" s="17"/>
      <c r="AC166" s="17"/>
    </row>
    <row r="167" spans="28:29">
      <c r="AB167" s="17"/>
      <c r="AC167" s="17"/>
    </row>
    <row r="168" spans="28:29">
      <c r="AB168" s="17"/>
      <c r="AC168" s="17"/>
    </row>
    <row r="169" spans="28:29">
      <c r="AB169" s="17"/>
      <c r="AC169" s="17"/>
    </row>
    <row r="170" spans="28:29">
      <c r="AB170" s="17"/>
      <c r="AC170" s="17"/>
    </row>
    <row r="171" spans="28:29">
      <c r="AB171" s="17"/>
      <c r="AC171" s="17"/>
    </row>
    <row r="172" spans="28:29">
      <c r="AB172" s="17"/>
      <c r="AC172" s="17"/>
    </row>
    <row r="173" spans="28:29">
      <c r="AB173" s="17"/>
      <c r="AC173" s="17"/>
    </row>
    <row r="174" spans="28:29">
      <c r="AB174" s="17"/>
      <c r="AC174" s="17"/>
    </row>
    <row r="175" spans="28:29">
      <c r="AB175" s="17"/>
      <c r="AC175" s="17"/>
    </row>
    <row r="176" spans="28:29">
      <c r="AB176" s="17"/>
      <c r="AC176" s="17"/>
    </row>
    <row r="177" spans="28:29">
      <c r="AB177" s="17"/>
      <c r="AC177" s="17"/>
    </row>
    <row r="178" spans="28:29">
      <c r="AB178" s="17"/>
      <c r="AC178" s="17"/>
    </row>
    <row r="179" spans="28:29">
      <c r="AB179" s="17"/>
      <c r="AC179" s="17"/>
    </row>
    <row r="180" spans="28:29">
      <c r="AB180" s="17"/>
      <c r="AC180" s="17"/>
    </row>
    <row r="181" spans="28:29">
      <c r="AB181" s="17"/>
      <c r="AC181" s="17"/>
    </row>
    <row r="182" spans="28:29">
      <c r="AB182" s="17"/>
      <c r="AC182" s="17"/>
    </row>
    <row r="183" spans="28:29">
      <c r="AB183" s="17"/>
      <c r="AC183" s="17"/>
    </row>
    <row r="184" spans="28:29">
      <c r="AB184" s="17"/>
      <c r="AC184" s="17"/>
    </row>
    <row r="185" spans="28:29">
      <c r="AB185" s="17"/>
      <c r="AC185" s="17"/>
    </row>
    <row r="186" spans="28:29">
      <c r="AB186" s="17"/>
      <c r="AC186" s="17"/>
    </row>
    <row r="187" spans="28:29">
      <c r="AB187" s="17"/>
      <c r="AC187" s="17"/>
    </row>
    <row r="188" spans="28:29">
      <c r="AB188" s="17"/>
      <c r="AC188" s="17"/>
    </row>
    <row r="189" spans="28:29">
      <c r="AB189" s="17"/>
      <c r="AC189" s="17"/>
    </row>
    <row r="190" spans="28:29">
      <c r="AB190" s="17"/>
      <c r="AC190" s="17"/>
    </row>
    <row r="191" spans="28:29">
      <c r="AB191" s="17"/>
      <c r="AC191" s="17"/>
    </row>
    <row r="192" spans="28:29">
      <c r="AB192" s="17"/>
      <c r="AC192" s="17"/>
    </row>
    <row r="193" spans="28:29">
      <c r="AB193" s="17"/>
      <c r="AC193" s="17"/>
    </row>
    <row r="194" spans="28:29">
      <c r="AB194" s="17"/>
      <c r="AC194" s="17"/>
    </row>
    <row r="195" spans="28:29">
      <c r="AB195" s="17"/>
      <c r="AC195" s="17"/>
    </row>
    <row r="196" spans="28:29">
      <c r="AB196" s="17"/>
      <c r="AC196" s="17"/>
    </row>
    <row r="197" spans="28:29">
      <c r="AB197" s="17"/>
      <c r="AC197" s="17"/>
    </row>
    <row r="198" spans="28:29">
      <c r="AB198" s="17"/>
      <c r="AC198" s="17"/>
    </row>
    <row r="199" spans="28:29">
      <c r="AB199" s="17"/>
      <c r="AC199" s="17"/>
    </row>
    <row r="200" spans="28:29">
      <c r="AB200" s="17"/>
      <c r="AC200" s="17"/>
    </row>
    <row r="201" spans="28:29">
      <c r="AB201" s="17"/>
      <c r="AC201" s="17"/>
    </row>
    <row r="202" spans="28:29">
      <c r="AB202" s="17"/>
      <c r="AC202" s="17"/>
    </row>
    <row r="203" spans="28:29">
      <c r="AB203" s="17"/>
      <c r="AC203" s="17"/>
    </row>
    <row r="204" spans="28:29">
      <c r="AB204" s="17"/>
      <c r="AC204" s="17"/>
    </row>
    <row r="205" spans="28:29">
      <c r="AB205" s="17"/>
      <c r="AC205" s="17"/>
    </row>
    <row r="206" spans="28:29">
      <c r="AB206" s="17"/>
      <c r="AC206" s="17"/>
    </row>
    <row r="207" spans="28:29">
      <c r="AB207" s="17"/>
      <c r="AC207" s="17"/>
    </row>
    <row r="208" spans="28:29">
      <c r="AB208" s="17"/>
      <c r="AC208" s="17"/>
    </row>
    <row r="209" spans="28:29">
      <c r="AB209" s="17"/>
      <c r="AC209" s="17"/>
    </row>
    <row r="210" spans="28:29">
      <c r="AB210" s="17"/>
      <c r="AC210" s="17"/>
    </row>
    <row r="211" spans="28:29">
      <c r="AB211" s="17"/>
      <c r="AC211" s="17"/>
    </row>
    <row r="212" spans="28:29">
      <c r="AB212" s="17"/>
      <c r="AC212" s="17"/>
    </row>
    <row r="213" spans="28:29">
      <c r="AB213" s="17"/>
      <c r="AC213" s="17"/>
    </row>
    <row r="214" spans="28:29">
      <c r="AB214" s="17"/>
      <c r="AC214" s="17"/>
    </row>
    <row r="215" spans="28:29">
      <c r="AB215" s="17"/>
      <c r="AC215" s="17"/>
    </row>
    <row r="216" spans="28:29">
      <c r="AB216" s="17"/>
      <c r="AC216" s="17"/>
    </row>
    <row r="217" spans="28:29">
      <c r="AB217" s="17"/>
      <c r="AC217" s="17"/>
    </row>
    <row r="218" spans="28:29">
      <c r="AB218" s="17"/>
      <c r="AC218" s="17"/>
    </row>
    <row r="219" spans="28:29">
      <c r="AB219" s="17"/>
      <c r="AC219" s="17"/>
    </row>
    <row r="220" spans="28:29">
      <c r="AB220" s="17"/>
      <c r="AC220" s="17"/>
    </row>
    <row r="221" spans="28:29">
      <c r="AB221" s="17"/>
      <c r="AC221" s="17"/>
    </row>
    <row r="222" spans="28:29">
      <c r="AB222" s="17"/>
      <c r="AC222" s="17"/>
    </row>
    <row r="223" spans="28:29">
      <c r="AB223" s="17"/>
      <c r="AC223" s="17"/>
    </row>
    <row r="224" spans="28:29">
      <c r="AB224" s="17"/>
      <c r="AC224" s="17"/>
    </row>
    <row r="225" spans="28:29">
      <c r="AB225" s="17"/>
      <c r="AC225" s="17"/>
    </row>
    <row r="226" spans="28:29">
      <c r="AB226" s="17"/>
      <c r="AC226" s="17"/>
    </row>
    <row r="227" spans="28:29">
      <c r="AB227" s="17"/>
      <c r="AC227" s="17"/>
    </row>
    <row r="228" spans="28:29">
      <c r="AB228" s="17"/>
      <c r="AC228" s="17"/>
    </row>
    <row r="229" spans="28:29">
      <c r="AB229" s="17"/>
      <c r="AC229" s="17"/>
    </row>
    <row r="230" spans="28:29">
      <c r="AB230" s="17"/>
      <c r="AC230" s="17"/>
    </row>
    <row r="231" spans="28:29">
      <c r="AB231" s="17"/>
      <c r="AC231" s="17"/>
    </row>
    <row r="232" spans="28:29">
      <c r="AB232" s="17"/>
      <c r="AC232" s="17"/>
    </row>
    <row r="233" spans="28:29">
      <c r="AB233" s="17"/>
      <c r="AC233" s="17"/>
    </row>
    <row r="234" spans="28:29">
      <c r="AB234" s="17"/>
      <c r="AC234" s="17"/>
    </row>
    <row r="235" spans="28:29">
      <c r="AB235" s="17"/>
      <c r="AC235" s="17"/>
    </row>
    <row r="236" spans="28:29">
      <c r="AB236" s="17"/>
      <c r="AC236" s="17"/>
    </row>
    <row r="237" spans="28:29">
      <c r="AB237" s="17"/>
      <c r="AC237" s="17"/>
    </row>
    <row r="238" spans="28:29">
      <c r="AB238" s="17"/>
      <c r="AC238" s="17"/>
    </row>
    <row r="239" spans="28:29">
      <c r="AB239" s="17"/>
      <c r="AC239" s="17"/>
    </row>
    <row r="240" spans="28:29">
      <c r="AB240" s="17"/>
      <c r="AC240" s="17"/>
    </row>
    <row r="241" spans="28:29">
      <c r="AB241" s="17"/>
      <c r="AC241" s="17"/>
    </row>
    <row r="242" spans="28:29">
      <c r="AB242" s="17"/>
      <c r="AC242" s="17"/>
    </row>
    <row r="243" spans="28:29">
      <c r="AB243" s="17"/>
      <c r="AC243" s="17"/>
    </row>
    <row r="244" spans="28:29">
      <c r="AB244" s="17"/>
      <c r="AC244" s="17"/>
    </row>
    <row r="245" spans="28:29">
      <c r="AB245" s="17"/>
      <c r="AC245" s="17"/>
    </row>
    <row r="246" spans="28:29">
      <c r="AB246" s="17"/>
      <c r="AC246" s="17"/>
    </row>
    <row r="247" spans="28:29">
      <c r="AB247" s="17"/>
      <c r="AC247" s="17"/>
    </row>
    <row r="248" spans="28:29">
      <c r="AB248" s="17"/>
      <c r="AC248" s="17"/>
    </row>
    <row r="249" spans="28:29">
      <c r="AB249" s="17"/>
      <c r="AC249" s="17"/>
    </row>
    <row r="250" spans="28:29">
      <c r="AB250" s="17"/>
      <c r="AC250" s="17"/>
    </row>
    <row r="251" spans="28:29">
      <c r="AB251" s="17"/>
      <c r="AC251" s="17"/>
    </row>
    <row r="252" spans="28:29">
      <c r="AB252" s="17"/>
      <c r="AC252" s="17"/>
    </row>
    <row r="253" spans="28:29">
      <c r="AB253" s="17"/>
      <c r="AC253" s="17"/>
    </row>
    <row r="254" spans="28:29">
      <c r="AB254" s="17"/>
      <c r="AC254" s="17"/>
    </row>
    <row r="255" spans="28:29">
      <c r="AB255" s="17"/>
      <c r="AC255" s="17"/>
    </row>
    <row r="256" spans="28:29">
      <c r="AB256" s="17"/>
      <c r="AC256" s="17"/>
    </row>
    <row r="257" spans="28:29">
      <c r="AB257" s="17"/>
      <c r="AC257" s="17"/>
    </row>
    <row r="258" spans="28:29">
      <c r="AB258" s="17"/>
      <c r="AC258" s="17"/>
    </row>
    <row r="259" spans="28:29">
      <c r="AB259" s="17"/>
      <c r="AC259" s="17"/>
    </row>
    <row r="260" spans="28:29">
      <c r="AB260" s="17"/>
      <c r="AC260" s="17"/>
    </row>
    <row r="261" spans="28:29">
      <c r="AB261" s="17"/>
      <c r="AC261" s="17"/>
    </row>
    <row r="262" spans="28:29">
      <c r="AB262" s="17"/>
      <c r="AC262" s="17"/>
    </row>
    <row r="263" spans="28:29">
      <c r="AB263" s="17"/>
      <c r="AC263" s="17"/>
    </row>
    <row r="264" spans="28:29">
      <c r="AB264" s="17"/>
      <c r="AC264" s="17"/>
    </row>
    <row r="265" spans="28:29">
      <c r="AB265" s="17"/>
      <c r="AC265" s="17"/>
    </row>
    <row r="266" spans="28:29">
      <c r="AB266" s="17"/>
      <c r="AC266" s="17"/>
    </row>
    <row r="267" spans="28:29">
      <c r="AB267" s="17"/>
      <c r="AC267" s="17"/>
    </row>
    <row r="268" spans="28:29">
      <c r="AB268" s="17"/>
      <c r="AC268" s="17"/>
    </row>
    <row r="269" spans="28:29">
      <c r="AB269" s="17"/>
      <c r="AC269" s="17"/>
    </row>
    <row r="270" spans="28:29">
      <c r="AB270" s="17"/>
      <c r="AC270" s="17"/>
    </row>
    <row r="271" spans="28:29">
      <c r="AB271" s="17"/>
      <c r="AC271" s="17"/>
    </row>
    <row r="272" spans="28:29">
      <c r="AB272" s="17"/>
      <c r="AC272" s="17"/>
    </row>
    <row r="273" spans="28:29">
      <c r="AB273" s="17"/>
      <c r="AC273" s="17"/>
    </row>
    <row r="274" spans="28:29">
      <c r="AB274" s="17"/>
      <c r="AC274" s="17"/>
    </row>
    <row r="275" spans="28:29">
      <c r="AB275" s="17"/>
      <c r="AC275" s="17"/>
    </row>
    <row r="276" spans="28:29">
      <c r="AB276" s="17"/>
      <c r="AC276" s="17"/>
    </row>
    <row r="277" spans="28:29">
      <c r="AB277" s="17"/>
      <c r="AC277" s="17"/>
    </row>
    <row r="278" spans="28:29">
      <c r="AB278" s="17"/>
      <c r="AC278" s="17"/>
    </row>
    <row r="279" spans="28:29">
      <c r="AB279" s="17"/>
      <c r="AC279" s="17"/>
    </row>
    <row r="280" spans="28:29">
      <c r="AB280" s="17"/>
      <c r="AC280" s="17"/>
    </row>
    <row r="281" spans="28:29">
      <c r="AB281" s="17"/>
      <c r="AC281" s="17"/>
    </row>
    <row r="282" spans="28:29">
      <c r="AB282" s="17"/>
      <c r="AC282" s="17"/>
    </row>
    <row r="283" spans="28:29">
      <c r="AB283" s="17"/>
      <c r="AC283" s="17"/>
    </row>
    <row r="284" spans="28:29">
      <c r="AB284" s="17"/>
      <c r="AC284" s="17"/>
    </row>
    <row r="285" spans="28:29">
      <c r="AB285" s="17"/>
      <c r="AC285" s="17"/>
    </row>
    <row r="286" spans="28:29">
      <c r="AB286" s="17"/>
      <c r="AC286" s="17"/>
    </row>
    <row r="287" spans="28:29">
      <c r="AB287" s="17"/>
      <c r="AC287" s="17"/>
    </row>
    <row r="288" spans="28:29">
      <c r="AB288" s="17"/>
      <c r="AC288" s="17"/>
    </row>
    <row r="289" spans="28:29">
      <c r="AB289" s="17"/>
      <c r="AC289" s="17"/>
    </row>
    <row r="290" spans="28:29">
      <c r="AB290" s="17"/>
      <c r="AC290" s="17"/>
    </row>
    <row r="291" spans="28:29">
      <c r="AB291" s="17"/>
      <c r="AC291" s="17"/>
    </row>
    <row r="292" spans="28:29">
      <c r="AB292" s="17"/>
      <c r="AC292" s="17"/>
    </row>
    <row r="293" spans="28:29">
      <c r="AB293" s="17"/>
      <c r="AC293" s="17"/>
    </row>
    <row r="294" spans="28:29">
      <c r="AB294" s="17"/>
      <c r="AC294" s="17"/>
    </row>
    <row r="295" spans="28:29">
      <c r="AB295" s="17"/>
      <c r="AC295" s="17"/>
    </row>
    <row r="296" spans="28:29">
      <c r="AB296" s="17"/>
      <c r="AC296" s="17"/>
    </row>
    <row r="297" spans="28:29">
      <c r="AB297" s="17"/>
      <c r="AC297" s="17"/>
    </row>
    <row r="298" spans="28:29">
      <c r="AB298" s="17"/>
      <c r="AC298" s="17"/>
    </row>
    <row r="299" spans="28:29">
      <c r="AB299" s="17"/>
      <c r="AC299" s="17"/>
    </row>
    <row r="300" spans="28:29">
      <c r="AB300" s="17"/>
      <c r="AC300" s="17"/>
    </row>
    <row r="301" spans="28:29">
      <c r="AB301" s="17"/>
      <c r="AC301" s="17"/>
    </row>
    <row r="302" spans="28:29">
      <c r="AB302" s="17"/>
      <c r="AC302" s="17"/>
    </row>
    <row r="303" spans="28:29">
      <c r="AB303" s="17"/>
      <c r="AC303" s="17"/>
    </row>
    <row r="304" spans="28:29">
      <c r="AB304" s="17"/>
      <c r="AC304" s="17"/>
    </row>
    <row r="305" spans="28:29">
      <c r="AB305" s="17"/>
      <c r="AC305" s="17"/>
    </row>
    <row r="306" spans="28:29">
      <c r="AB306" s="17"/>
      <c r="AC306" s="17"/>
    </row>
    <row r="307" spans="28:29">
      <c r="AB307" s="17"/>
      <c r="AC307" s="17"/>
    </row>
    <row r="308" spans="28:29">
      <c r="AB308" s="17"/>
      <c r="AC308" s="17"/>
    </row>
    <row r="309" spans="28:29">
      <c r="AB309" s="17"/>
      <c r="AC309" s="17"/>
    </row>
    <row r="310" spans="28:29">
      <c r="AB310" s="17"/>
      <c r="AC310" s="17"/>
    </row>
    <row r="311" spans="28:29">
      <c r="AB311" s="17"/>
      <c r="AC311" s="17"/>
    </row>
    <row r="312" spans="28:29">
      <c r="AB312" s="17"/>
      <c r="AC312" s="17"/>
    </row>
    <row r="313" spans="28:29">
      <c r="AB313" s="17"/>
      <c r="AC313" s="17"/>
    </row>
    <row r="314" spans="28:29">
      <c r="AB314" s="17"/>
      <c r="AC314" s="17"/>
    </row>
    <row r="315" spans="28:29">
      <c r="AB315" s="17"/>
      <c r="AC315" s="17"/>
    </row>
    <row r="316" spans="28:29">
      <c r="AB316" s="17"/>
      <c r="AC316" s="17"/>
    </row>
    <row r="317" spans="28:29">
      <c r="AB317" s="17"/>
      <c r="AC317" s="17"/>
    </row>
    <row r="318" spans="28:29">
      <c r="AB318" s="17"/>
      <c r="AC318" s="17"/>
    </row>
    <row r="319" spans="28:29">
      <c r="AB319" s="17"/>
      <c r="AC319" s="17"/>
    </row>
    <row r="320" spans="28:29">
      <c r="AB320" s="17"/>
      <c r="AC320" s="17"/>
    </row>
    <row r="321" spans="28:29">
      <c r="AB321" s="17"/>
      <c r="AC321" s="17"/>
    </row>
    <row r="322" spans="28:29">
      <c r="AB322" s="17"/>
      <c r="AC322" s="17"/>
    </row>
    <row r="323" spans="28:29">
      <c r="AB323" s="17"/>
      <c r="AC323" s="17"/>
    </row>
    <row r="324" spans="28:29">
      <c r="AB324" s="17"/>
      <c r="AC324" s="17"/>
    </row>
    <row r="325" spans="28:29">
      <c r="AB325" s="17"/>
      <c r="AC325" s="17"/>
    </row>
    <row r="326" spans="28:29">
      <c r="AB326" s="17"/>
      <c r="AC326" s="17"/>
    </row>
    <row r="327" spans="28:29">
      <c r="AB327" s="17"/>
      <c r="AC327" s="17"/>
    </row>
    <row r="328" spans="28:29">
      <c r="AB328" s="17"/>
      <c r="AC328" s="17"/>
    </row>
    <row r="329" spans="28:29">
      <c r="AB329" s="17"/>
      <c r="AC329" s="17"/>
    </row>
    <row r="330" spans="28:29">
      <c r="AB330" s="17"/>
      <c r="AC330" s="17"/>
    </row>
    <row r="331" spans="28:29">
      <c r="AB331" s="17"/>
      <c r="AC331" s="17"/>
    </row>
    <row r="332" spans="28:29">
      <c r="AB332" s="17"/>
      <c r="AC332" s="17"/>
    </row>
    <row r="333" spans="28:29">
      <c r="AB333" s="17"/>
      <c r="AC333" s="17"/>
    </row>
    <row r="334" spans="28:29">
      <c r="AB334" s="17"/>
      <c r="AC334" s="17"/>
    </row>
    <row r="335" spans="28:29">
      <c r="AB335" s="17"/>
      <c r="AC335" s="17"/>
    </row>
    <row r="336" spans="28:29">
      <c r="AB336" s="17"/>
      <c r="AC336" s="17"/>
    </row>
    <row r="337" spans="28:29">
      <c r="AB337" s="17"/>
      <c r="AC337" s="17"/>
    </row>
    <row r="338" spans="28:29">
      <c r="AB338" s="17"/>
      <c r="AC338" s="17"/>
    </row>
    <row r="339" spans="28:29">
      <c r="AB339" s="17"/>
      <c r="AC339" s="17"/>
    </row>
    <row r="340" spans="28:29">
      <c r="AB340" s="17"/>
      <c r="AC340" s="17"/>
    </row>
    <row r="341" spans="28:29">
      <c r="AB341" s="17"/>
      <c r="AC341" s="17"/>
    </row>
    <row r="342" spans="28:29">
      <c r="AB342" s="17"/>
      <c r="AC342" s="17"/>
    </row>
    <row r="343" spans="28:29">
      <c r="AB343" s="17"/>
      <c r="AC343" s="17"/>
    </row>
    <row r="344" spans="28:29">
      <c r="AB344" s="17"/>
      <c r="AC344" s="17"/>
    </row>
    <row r="345" spans="28:29">
      <c r="AB345" s="17"/>
      <c r="AC345" s="17"/>
    </row>
    <row r="346" spans="28:29">
      <c r="AB346" s="17"/>
      <c r="AC346" s="17"/>
    </row>
    <row r="347" spans="28:29">
      <c r="AB347" s="17"/>
      <c r="AC347" s="17"/>
    </row>
    <row r="348" spans="28:29">
      <c r="AB348" s="17"/>
      <c r="AC348" s="17"/>
    </row>
    <row r="349" spans="28:29">
      <c r="AB349" s="17"/>
      <c r="AC349" s="17"/>
    </row>
    <row r="350" spans="28:29">
      <c r="AB350" s="17"/>
      <c r="AC350" s="17"/>
    </row>
    <row r="351" spans="28:29">
      <c r="AB351" s="17"/>
      <c r="AC351" s="17"/>
    </row>
    <row r="352" spans="28:29">
      <c r="AB352" s="17"/>
      <c r="AC352" s="17"/>
    </row>
    <row r="353" spans="28:29">
      <c r="AB353" s="17"/>
      <c r="AC353" s="17"/>
    </row>
    <row r="354" spans="28:29">
      <c r="AB354" s="17"/>
      <c r="AC354" s="17"/>
    </row>
    <row r="355" spans="28:29">
      <c r="AB355" s="17"/>
      <c r="AC355" s="17"/>
    </row>
    <row r="356" spans="28:29">
      <c r="AB356" s="17"/>
      <c r="AC356" s="17"/>
    </row>
    <row r="357" spans="28:29">
      <c r="AB357" s="17"/>
      <c r="AC357" s="17"/>
    </row>
    <row r="358" spans="28:29">
      <c r="AB358" s="17"/>
      <c r="AC358" s="17"/>
    </row>
    <row r="359" spans="28:29">
      <c r="AB359" s="17"/>
      <c r="AC359" s="17"/>
    </row>
    <row r="360" spans="28:29">
      <c r="AB360" s="17"/>
      <c r="AC360" s="17"/>
    </row>
    <row r="361" spans="28:29">
      <c r="AB361" s="17"/>
      <c r="AC361" s="17"/>
    </row>
    <row r="362" spans="28:29">
      <c r="AB362" s="17"/>
      <c r="AC362" s="17"/>
    </row>
    <row r="363" spans="28:29">
      <c r="AB363" s="17"/>
      <c r="AC363" s="17"/>
    </row>
    <row r="364" spans="28:29">
      <c r="AB364" s="17"/>
      <c r="AC364" s="17"/>
    </row>
    <row r="365" spans="28:29">
      <c r="AB365" s="17"/>
      <c r="AC365" s="17"/>
    </row>
    <row r="366" spans="28:29">
      <c r="AB366" s="17"/>
      <c r="AC366" s="17"/>
    </row>
    <row r="367" spans="28:29">
      <c r="AB367" s="17"/>
      <c r="AC367" s="17"/>
    </row>
    <row r="368" spans="28:29">
      <c r="AB368" s="17"/>
      <c r="AC368" s="17"/>
    </row>
    <row r="369" spans="28:29">
      <c r="AB369" s="17"/>
      <c r="AC369" s="17"/>
    </row>
    <row r="370" spans="28:29">
      <c r="AB370" s="17"/>
      <c r="AC370" s="17"/>
    </row>
    <row r="371" spans="28:29">
      <c r="AB371" s="17"/>
      <c r="AC371" s="17"/>
    </row>
    <row r="372" spans="28:29">
      <c r="AB372" s="17"/>
      <c r="AC372" s="17"/>
    </row>
    <row r="373" spans="28:29">
      <c r="AB373" s="17"/>
      <c r="AC373" s="17"/>
    </row>
    <row r="374" spans="28:29">
      <c r="AB374" s="17"/>
      <c r="AC374" s="17"/>
    </row>
    <row r="375" spans="28:29">
      <c r="AB375" s="17"/>
      <c r="AC375" s="17"/>
    </row>
    <row r="376" spans="28:29">
      <c r="AB376" s="17"/>
      <c r="AC376" s="17"/>
    </row>
    <row r="377" spans="28:29">
      <c r="AB377" s="17"/>
      <c r="AC377" s="17"/>
    </row>
    <row r="378" spans="28:29">
      <c r="AB378" s="17"/>
      <c r="AC378" s="17"/>
    </row>
    <row r="379" spans="28:29">
      <c r="AB379" s="17"/>
      <c r="AC379" s="17"/>
    </row>
    <row r="380" spans="28:29">
      <c r="AB380" s="17"/>
      <c r="AC380" s="17"/>
    </row>
    <row r="381" spans="28:29">
      <c r="AB381" s="17"/>
      <c r="AC381" s="17"/>
    </row>
    <row r="382" spans="28:29">
      <c r="AB382" s="17"/>
      <c r="AC382" s="17"/>
    </row>
    <row r="383" spans="28:29">
      <c r="AB383" s="17"/>
      <c r="AC383" s="17"/>
    </row>
    <row r="384" spans="28:29">
      <c r="AB384" s="17"/>
      <c r="AC384" s="17"/>
    </row>
    <row r="385" spans="28:29">
      <c r="AB385" s="17"/>
      <c r="AC385" s="17"/>
    </row>
    <row r="386" spans="28:29">
      <c r="AB386" s="17"/>
      <c r="AC386" s="17"/>
    </row>
    <row r="387" spans="28:29">
      <c r="AB387" s="17"/>
      <c r="AC387" s="17"/>
    </row>
    <row r="388" spans="28:29">
      <c r="AB388" s="17"/>
      <c r="AC388" s="17"/>
    </row>
    <row r="389" spans="28:29">
      <c r="AB389" s="17"/>
      <c r="AC389" s="17"/>
    </row>
    <row r="390" spans="28:29">
      <c r="AB390" s="17"/>
      <c r="AC390" s="17"/>
    </row>
    <row r="391" spans="28:29">
      <c r="AB391" s="17"/>
      <c r="AC391" s="17"/>
    </row>
    <row r="392" spans="28:29">
      <c r="AB392" s="17"/>
      <c r="AC392" s="17"/>
    </row>
    <row r="393" spans="28:29">
      <c r="AB393" s="17"/>
      <c r="AC393" s="17"/>
    </row>
    <row r="394" spans="28:29">
      <c r="AB394" s="17"/>
      <c r="AC394" s="17"/>
    </row>
    <row r="395" spans="28:29">
      <c r="AB395" s="17"/>
      <c r="AC395" s="17"/>
    </row>
    <row r="396" spans="28:29">
      <c r="AB396" s="17"/>
      <c r="AC396" s="17"/>
    </row>
    <row r="397" spans="28:29">
      <c r="AB397" s="17"/>
      <c r="AC397" s="17"/>
    </row>
    <row r="398" spans="28:29">
      <c r="AB398" s="17"/>
      <c r="AC398" s="17"/>
    </row>
    <row r="399" spans="28:29">
      <c r="AB399" s="17"/>
      <c r="AC399" s="17"/>
    </row>
    <row r="400" spans="28:29">
      <c r="AB400" s="17"/>
      <c r="AC400" s="17"/>
    </row>
    <row r="401" spans="28:29">
      <c r="AB401" s="17"/>
      <c r="AC401" s="17"/>
    </row>
    <row r="402" spans="28:29">
      <c r="AB402" s="17"/>
      <c r="AC402" s="17"/>
    </row>
    <row r="403" spans="28:29">
      <c r="AB403" s="17"/>
      <c r="AC403" s="17"/>
    </row>
    <row r="404" spans="28:29">
      <c r="AB404" s="17"/>
      <c r="AC404" s="17"/>
    </row>
    <row r="405" spans="28:29">
      <c r="AB405" s="17"/>
      <c r="AC405" s="17"/>
    </row>
    <row r="406" spans="28:29">
      <c r="AB406" s="17"/>
      <c r="AC406" s="17"/>
    </row>
    <row r="407" spans="28:29">
      <c r="AB407" s="17"/>
      <c r="AC407" s="17"/>
    </row>
    <row r="408" spans="28:29">
      <c r="AB408" s="17"/>
      <c r="AC408" s="17"/>
    </row>
    <row r="409" spans="28:29">
      <c r="AB409" s="17"/>
      <c r="AC409" s="17"/>
    </row>
    <row r="410" spans="28:29">
      <c r="AB410" s="17"/>
      <c r="AC410" s="17"/>
    </row>
    <row r="411" spans="28:29">
      <c r="AB411" s="17"/>
      <c r="AC411" s="17"/>
    </row>
    <row r="412" spans="28:29">
      <c r="AB412" s="17"/>
      <c r="AC412" s="17"/>
    </row>
    <row r="413" spans="28:29">
      <c r="AB413" s="17"/>
      <c r="AC413" s="17"/>
    </row>
    <row r="414" spans="28:29">
      <c r="AB414" s="17"/>
      <c r="AC414" s="17"/>
    </row>
    <row r="415" spans="28:29">
      <c r="AB415" s="17"/>
      <c r="AC415" s="17"/>
    </row>
    <row r="416" spans="28:29">
      <c r="AB416" s="17"/>
      <c r="AC416" s="17"/>
    </row>
    <row r="417" spans="28:29">
      <c r="AB417" s="17"/>
      <c r="AC417" s="17"/>
    </row>
    <row r="418" spans="28:29">
      <c r="AB418" s="17"/>
      <c r="AC418" s="17"/>
    </row>
    <row r="419" spans="28:29">
      <c r="AB419" s="17"/>
      <c r="AC419" s="17"/>
    </row>
    <row r="420" spans="28:29">
      <c r="AB420" s="17"/>
      <c r="AC420" s="17"/>
    </row>
    <row r="421" spans="28:29">
      <c r="AB421" s="17"/>
      <c r="AC421" s="17"/>
    </row>
    <row r="422" spans="28:29">
      <c r="AB422" s="17"/>
      <c r="AC422" s="17"/>
    </row>
    <row r="423" spans="28:29">
      <c r="AB423" s="17"/>
      <c r="AC423" s="17"/>
    </row>
    <row r="424" spans="28:29">
      <c r="AB424" s="17"/>
      <c r="AC424" s="17"/>
    </row>
    <row r="425" spans="28:29">
      <c r="AB425" s="17"/>
      <c r="AC425" s="17"/>
    </row>
    <row r="426" spans="28:29">
      <c r="AB426" s="17"/>
      <c r="AC426" s="17"/>
    </row>
    <row r="427" spans="28:29">
      <c r="AB427" s="17"/>
      <c r="AC427" s="17"/>
    </row>
    <row r="428" spans="28:29">
      <c r="AB428" s="17"/>
      <c r="AC428" s="17"/>
    </row>
    <row r="429" spans="28:29">
      <c r="AB429" s="17"/>
      <c r="AC429" s="17"/>
    </row>
    <row r="430" spans="28:29">
      <c r="AB430" s="17"/>
      <c r="AC430" s="17"/>
    </row>
    <row r="431" spans="28:29">
      <c r="AB431" s="17"/>
      <c r="AC431" s="17"/>
    </row>
    <row r="432" spans="28:29">
      <c r="AB432" s="17"/>
      <c r="AC432" s="17"/>
    </row>
    <row r="433" spans="28:29">
      <c r="AB433" s="17"/>
      <c r="AC433" s="17"/>
    </row>
    <row r="434" spans="28:29">
      <c r="AB434" s="17"/>
      <c r="AC434" s="17"/>
    </row>
    <row r="435" spans="28:29">
      <c r="AB435" s="17"/>
      <c r="AC435" s="17"/>
    </row>
    <row r="436" spans="28:29">
      <c r="AB436" s="17"/>
      <c r="AC436" s="17"/>
    </row>
    <row r="437" spans="28:29">
      <c r="AB437" s="17"/>
      <c r="AC437" s="17"/>
    </row>
    <row r="438" spans="28:29">
      <c r="AB438" s="17"/>
      <c r="AC438" s="17"/>
    </row>
    <row r="439" spans="28:29">
      <c r="AB439" s="17"/>
      <c r="AC439" s="17"/>
    </row>
    <row r="440" spans="28:29">
      <c r="AB440" s="17"/>
      <c r="AC440" s="17"/>
    </row>
    <row r="441" spans="28:29">
      <c r="AB441" s="17"/>
      <c r="AC441" s="17"/>
    </row>
    <row r="442" spans="28:29">
      <c r="AB442" s="17"/>
      <c r="AC442" s="17"/>
    </row>
    <row r="443" spans="28:29">
      <c r="AB443" s="17"/>
      <c r="AC443" s="17"/>
    </row>
    <row r="444" spans="28:29">
      <c r="AB444" s="17"/>
      <c r="AC444" s="17"/>
    </row>
    <row r="445" spans="28:29">
      <c r="AB445" s="17"/>
      <c r="AC445" s="17"/>
    </row>
    <row r="446" spans="28:29">
      <c r="AB446" s="17"/>
      <c r="AC446" s="17"/>
    </row>
    <row r="447" spans="28:29">
      <c r="AB447" s="17"/>
      <c r="AC447" s="17"/>
    </row>
    <row r="448" spans="28:29">
      <c r="AB448" s="17"/>
      <c r="AC448" s="17"/>
    </row>
    <row r="449" spans="28:29">
      <c r="AB449" s="17"/>
      <c r="AC449" s="17"/>
    </row>
    <row r="450" spans="28:29">
      <c r="AB450" s="17"/>
      <c r="AC450" s="17"/>
    </row>
    <row r="451" spans="28:29">
      <c r="AB451" s="17"/>
      <c r="AC451" s="17"/>
    </row>
    <row r="452" spans="28:29">
      <c r="AB452" s="17"/>
      <c r="AC452" s="17"/>
    </row>
    <row r="453" spans="28:29">
      <c r="AB453" s="17"/>
      <c r="AC453" s="17"/>
    </row>
    <row r="454" spans="28:29">
      <c r="AB454" s="17"/>
      <c r="AC454" s="17"/>
    </row>
    <row r="455" spans="28:29">
      <c r="AB455" s="17"/>
      <c r="AC455" s="17"/>
    </row>
    <row r="456" spans="28:29">
      <c r="AB456" s="17"/>
      <c r="AC456" s="17"/>
    </row>
    <row r="457" spans="28:29">
      <c r="AB457" s="17"/>
      <c r="AC457" s="17"/>
    </row>
    <row r="458" spans="28:29">
      <c r="AB458" s="17"/>
      <c r="AC458" s="17"/>
    </row>
    <row r="459" spans="28:29">
      <c r="AB459" s="17"/>
      <c r="AC459" s="17"/>
    </row>
    <row r="460" spans="28:29">
      <c r="AB460" s="17"/>
      <c r="AC460" s="17"/>
    </row>
    <row r="461" spans="28:29">
      <c r="AB461" s="17"/>
      <c r="AC461" s="17"/>
    </row>
    <row r="462" spans="28:29">
      <c r="AB462" s="17"/>
      <c r="AC462" s="17"/>
    </row>
    <row r="463" spans="28:29">
      <c r="AB463" s="17"/>
      <c r="AC463" s="17"/>
    </row>
    <row r="464" spans="28:29">
      <c r="AB464" s="17"/>
      <c r="AC464" s="17"/>
    </row>
    <row r="465" spans="28:29">
      <c r="AB465" s="17"/>
      <c r="AC465" s="17"/>
    </row>
    <row r="466" spans="28:29">
      <c r="AB466" s="17"/>
      <c r="AC466" s="17"/>
    </row>
    <row r="467" spans="28:29">
      <c r="AB467" s="17"/>
      <c r="AC467" s="17"/>
    </row>
    <row r="468" spans="28:29">
      <c r="AB468" s="17"/>
      <c r="AC468" s="17"/>
    </row>
    <row r="469" spans="28:29">
      <c r="AB469" s="17"/>
      <c r="AC469" s="17"/>
    </row>
    <row r="470" spans="28:29">
      <c r="AB470" s="17"/>
      <c r="AC470" s="17"/>
    </row>
    <row r="471" spans="28:29">
      <c r="AB471" s="17"/>
      <c r="AC471" s="17"/>
    </row>
    <row r="472" spans="28:29">
      <c r="AB472" s="17"/>
      <c r="AC472" s="17"/>
    </row>
    <row r="473" spans="28:29">
      <c r="AB473" s="17"/>
      <c r="AC473" s="17"/>
    </row>
    <row r="474" spans="28:29">
      <c r="AB474" s="17"/>
      <c r="AC474" s="17"/>
    </row>
    <row r="475" spans="28:29">
      <c r="AB475" s="17"/>
      <c r="AC475" s="17"/>
    </row>
    <row r="476" spans="28:29">
      <c r="AB476" s="17"/>
      <c r="AC476" s="17"/>
    </row>
    <row r="477" spans="28:29">
      <c r="AB477" s="17"/>
      <c r="AC477" s="17"/>
    </row>
    <row r="478" spans="28:29">
      <c r="AB478" s="17"/>
      <c r="AC478" s="17"/>
    </row>
    <row r="479" spans="28:29">
      <c r="AB479" s="17"/>
      <c r="AC479" s="17"/>
    </row>
    <row r="480" spans="28:29">
      <c r="AB480" s="17"/>
      <c r="AC480" s="17"/>
    </row>
    <row r="481" spans="28:29">
      <c r="AB481" s="17"/>
      <c r="AC481" s="17"/>
    </row>
    <row r="482" spans="28:29">
      <c r="AB482" s="17"/>
      <c r="AC482" s="17"/>
    </row>
    <row r="483" spans="28:29">
      <c r="AB483" s="17"/>
      <c r="AC483" s="17"/>
    </row>
    <row r="484" spans="28:29">
      <c r="AB484" s="17"/>
      <c r="AC484" s="17"/>
    </row>
    <row r="485" spans="28:29">
      <c r="AB485" s="17"/>
      <c r="AC485" s="17"/>
    </row>
    <row r="486" spans="28:29">
      <c r="AB486" s="17"/>
      <c r="AC486" s="17"/>
    </row>
    <row r="487" spans="28:29">
      <c r="AB487" s="17"/>
      <c r="AC487" s="17"/>
    </row>
    <row r="488" spans="28:29">
      <c r="AB488" s="17"/>
      <c r="AC488" s="17"/>
    </row>
    <row r="489" spans="28:29">
      <c r="AB489" s="17"/>
      <c r="AC489" s="17"/>
    </row>
    <row r="490" spans="28:29">
      <c r="AB490" s="17"/>
      <c r="AC490" s="17"/>
    </row>
    <row r="491" spans="28:29">
      <c r="AB491" s="17"/>
      <c r="AC491" s="17"/>
    </row>
    <row r="492" spans="28:29">
      <c r="AB492" s="17"/>
      <c r="AC492" s="17"/>
    </row>
    <row r="493" spans="28:29">
      <c r="AB493" s="17"/>
      <c r="AC493" s="17"/>
    </row>
    <row r="494" spans="28:29">
      <c r="AB494" s="17"/>
      <c r="AC494" s="17"/>
    </row>
    <row r="495" spans="28:29">
      <c r="AB495" s="17"/>
      <c r="AC495" s="17"/>
    </row>
    <row r="496" spans="28:29">
      <c r="AB496" s="17"/>
      <c r="AC496" s="17"/>
    </row>
    <row r="497" spans="28:29">
      <c r="AB497" s="17"/>
      <c r="AC497" s="17"/>
    </row>
    <row r="498" spans="28:29">
      <c r="AB498" s="17"/>
      <c r="AC498" s="17"/>
    </row>
    <row r="499" spans="28:29">
      <c r="AB499" s="17"/>
      <c r="AC499" s="17"/>
    </row>
    <row r="500" spans="28:29">
      <c r="AB500" s="17"/>
      <c r="AC500" s="17"/>
    </row>
    <row r="501" spans="28:29">
      <c r="AB501" s="17"/>
      <c r="AC501" s="17"/>
    </row>
    <row r="502" spans="28:29">
      <c r="AB502" s="17"/>
      <c r="AC502" s="17"/>
    </row>
    <row r="503" spans="28:29">
      <c r="AB503" s="17"/>
      <c r="AC503" s="17"/>
    </row>
    <row r="504" spans="28:29">
      <c r="AB504" s="17"/>
      <c r="AC504" s="17"/>
    </row>
    <row r="505" spans="28:29">
      <c r="AB505" s="17"/>
      <c r="AC505" s="17"/>
    </row>
    <row r="506" spans="28:29">
      <c r="AB506" s="17"/>
      <c r="AC506" s="17"/>
    </row>
    <row r="507" spans="28:29">
      <c r="AB507" s="17"/>
      <c r="AC507" s="17"/>
    </row>
    <row r="508" spans="28:29">
      <c r="AB508" s="17"/>
      <c r="AC508" s="17"/>
    </row>
    <row r="509" spans="28:29">
      <c r="AB509" s="17"/>
      <c r="AC509" s="17"/>
    </row>
    <row r="510" spans="28:29">
      <c r="AB510" s="17"/>
      <c r="AC510" s="17"/>
    </row>
    <row r="511" spans="28:29">
      <c r="AB511" s="17"/>
      <c r="AC511" s="17"/>
    </row>
    <row r="512" spans="28:29">
      <c r="AB512" s="17"/>
      <c r="AC512" s="17"/>
    </row>
    <row r="513" spans="28:29">
      <c r="AB513" s="17"/>
      <c r="AC513" s="17"/>
    </row>
    <row r="514" spans="28:29">
      <c r="AB514" s="17"/>
      <c r="AC514" s="17"/>
    </row>
    <row r="515" spans="28:29">
      <c r="AB515" s="17"/>
      <c r="AC515" s="17"/>
    </row>
    <row r="516" spans="28:29">
      <c r="AB516" s="17"/>
      <c r="AC516" s="17"/>
    </row>
    <row r="517" spans="28:29">
      <c r="AB517" s="17"/>
      <c r="AC517" s="17"/>
    </row>
    <row r="518" spans="28:29">
      <c r="AB518" s="17"/>
      <c r="AC518" s="17"/>
    </row>
    <row r="519" spans="28:29">
      <c r="AB519" s="17"/>
      <c r="AC519" s="17"/>
    </row>
    <row r="520" spans="28:29">
      <c r="AB520" s="17"/>
      <c r="AC520" s="17"/>
    </row>
    <row r="521" spans="28:29">
      <c r="AB521" s="17"/>
      <c r="AC521" s="17"/>
    </row>
    <row r="522" spans="28:29">
      <c r="AB522" s="17"/>
      <c r="AC522" s="17"/>
    </row>
    <row r="523" spans="28:29">
      <c r="AB523" s="17"/>
      <c r="AC523" s="17"/>
    </row>
    <row r="524" spans="28:29">
      <c r="AB524" s="17"/>
      <c r="AC524" s="17"/>
    </row>
    <row r="525" spans="28:29">
      <c r="AB525" s="17"/>
      <c r="AC525" s="17"/>
    </row>
    <row r="526" spans="28:29">
      <c r="AB526" s="17"/>
      <c r="AC526" s="17"/>
    </row>
    <row r="527" spans="28:29">
      <c r="AB527" s="17"/>
      <c r="AC527" s="17"/>
    </row>
    <row r="528" spans="28:29">
      <c r="AB528" s="17"/>
      <c r="AC528" s="17"/>
    </row>
    <row r="529" spans="28:29">
      <c r="AB529" s="17"/>
      <c r="AC529" s="17"/>
    </row>
    <row r="530" spans="28:29">
      <c r="AB530" s="17"/>
      <c r="AC530" s="17"/>
    </row>
    <row r="531" spans="28:29">
      <c r="AB531" s="17"/>
      <c r="AC531" s="17"/>
    </row>
    <row r="532" spans="28:29">
      <c r="AB532" s="17"/>
      <c r="AC532" s="17"/>
    </row>
    <row r="533" spans="28:29">
      <c r="AB533" s="17"/>
      <c r="AC533" s="17"/>
    </row>
    <row r="534" spans="28:29">
      <c r="AB534" s="17"/>
      <c r="AC534" s="17"/>
    </row>
    <row r="535" spans="28:29">
      <c r="AB535" s="17"/>
      <c r="AC535" s="17"/>
    </row>
    <row r="536" spans="28:29">
      <c r="AB536" s="17"/>
      <c r="AC536" s="17"/>
    </row>
    <row r="537" spans="28:29">
      <c r="AB537" s="17"/>
      <c r="AC537" s="17"/>
    </row>
    <row r="538" spans="28:29">
      <c r="AB538" s="17"/>
      <c r="AC538" s="17"/>
    </row>
    <row r="539" spans="28:29">
      <c r="AB539" s="17"/>
      <c r="AC539" s="17"/>
    </row>
    <row r="540" spans="28:29">
      <c r="AB540" s="17"/>
      <c r="AC540" s="17"/>
    </row>
    <row r="541" spans="28:29">
      <c r="AB541" s="17"/>
      <c r="AC541" s="17"/>
    </row>
    <row r="542" spans="28:29">
      <c r="AB542" s="17"/>
      <c r="AC542" s="17"/>
    </row>
    <row r="543" spans="28:29">
      <c r="AB543" s="17"/>
      <c r="AC543" s="17"/>
    </row>
    <row r="544" spans="28:29">
      <c r="AB544" s="17"/>
      <c r="AC544" s="17"/>
    </row>
    <row r="545" spans="28:29">
      <c r="AB545" s="17"/>
      <c r="AC545" s="17"/>
    </row>
    <row r="546" spans="28:29">
      <c r="AB546" s="17"/>
      <c r="AC546" s="17"/>
    </row>
    <row r="547" spans="28:29">
      <c r="AB547" s="17"/>
      <c r="AC547" s="17"/>
    </row>
    <row r="548" spans="28:29">
      <c r="AB548" s="17"/>
      <c r="AC548" s="17"/>
    </row>
    <row r="549" spans="28:29">
      <c r="AB549" s="17"/>
      <c r="AC549" s="17"/>
    </row>
    <row r="550" spans="28:29">
      <c r="AB550" s="17"/>
      <c r="AC550" s="17"/>
    </row>
    <row r="551" spans="28:29">
      <c r="AB551" s="17"/>
      <c r="AC551" s="17"/>
    </row>
    <row r="552" spans="28:29">
      <c r="AB552" s="17"/>
      <c r="AC552" s="17"/>
    </row>
    <row r="553" spans="28:29">
      <c r="AB553" s="17"/>
      <c r="AC553" s="17"/>
    </row>
    <row r="554" spans="28:29">
      <c r="AB554" s="17"/>
      <c r="AC554" s="17"/>
    </row>
    <row r="555" spans="28:29">
      <c r="AB555" s="17"/>
      <c r="AC555" s="17"/>
    </row>
    <row r="556" spans="28:29">
      <c r="AB556" s="17"/>
      <c r="AC556" s="17"/>
    </row>
    <row r="557" spans="28:29">
      <c r="AB557" s="17"/>
      <c r="AC557" s="17"/>
    </row>
    <row r="558" spans="28:29">
      <c r="AB558" s="17"/>
      <c r="AC558" s="17"/>
    </row>
    <row r="559" spans="28:29">
      <c r="AB559" s="17"/>
      <c r="AC559" s="17"/>
    </row>
    <row r="560" spans="28:29">
      <c r="AB560" s="17"/>
      <c r="AC560" s="17"/>
    </row>
    <row r="561" spans="28:29">
      <c r="AB561" s="17"/>
      <c r="AC561" s="17"/>
    </row>
    <row r="562" spans="28:29">
      <c r="AB562" s="17"/>
      <c r="AC562" s="17"/>
    </row>
    <row r="563" spans="28:29">
      <c r="AB563" s="17"/>
      <c r="AC563" s="17"/>
    </row>
    <row r="564" spans="28:29">
      <c r="AB564" s="17"/>
      <c r="AC564" s="17"/>
    </row>
    <row r="565" spans="28:29">
      <c r="AB565" s="17"/>
      <c r="AC565" s="17"/>
    </row>
    <row r="566" spans="28:29">
      <c r="AB566" s="17"/>
      <c r="AC566" s="17"/>
    </row>
    <row r="567" spans="28:29">
      <c r="AB567" s="17"/>
      <c r="AC567" s="17"/>
    </row>
    <row r="568" spans="28:29">
      <c r="AB568" s="17"/>
      <c r="AC568" s="17"/>
    </row>
    <row r="569" spans="28:29">
      <c r="AB569" s="17"/>
      <c r="AC569" s="17"/>
    </row>
    <row r="570" spans="28:29">
      <c r="AB570" s="17"/>
      <c r="AC570" s="17"/>
    </row>
    <row r="571" spans="28:29">
      <c r="AB571" s="17"/>
      <c r="AC571" s="17"/>
    </row>
    <row r="572" spans="28:29">
      <c r="AB572" s="17"/>
      <c r="AC572" s="17"/>
    </row>
    <row r="573" spans="28:29">
      <c r="AB573" s="17"/>
      <c r="AC573" s="17"/>
    </row>
    <row r="574" spans="28:29">
      <c r="AB574" s="17"/>
      <c r="AC574" s="17"/>
    </row>
    <row r="575" spans="28:29">
      <c r="AB575" s="17"/>
      <c r="AC575" s="17"/>
    </row>
    <row r="576" spans="28:29">
      <c r="AB576" s="17"/>
      <c r="AC576" s="17"/>
    </row>
    <row r="577" spans="28:29">
      <c r="AB577" s="17"/>
      <c r="AC577" s="17"/>
    </row>
    <row r="578" spans="28:29">
      <c r="AB578" s="17"/>
      <c r="AC578" s="17"/>
    </row>
    <row r="579" spans="28:29">
      <c r="AB579" s="17"/>
      <c r="AC579" s="17"/>
    </row>
    <row r="580" spans="28:29">
      <c r="AB580" s="17"/>
      <c r="AC580" s="17"/>
    </row>
    <row r="581" spans="28:29">
      <c r="AB581" s="17"/>
      <c r="AC581" s="17"/>
    </row>
    <row r="582" spans="28:29">
      <c r="AB582" s="17"/>
      <c r="AC582" s="17"/>
    </row>
    <row r="583" spans="28:29">
      <c r="AB583" s="17"/>
      <c r="AC583" s="17"/>
    </row>
    <row r="584" spans="28:29">
      <c r="AB584" s="17"/>
      <c r="AC584" s="17"/>
    </row>
    <row r="585" spans="28:29">
      <c r="AB585" s="17"/>
      <c r="AC585" s="17"/>
    </row>
    <row r="586" spans="28:29">
      <c r="AB586" s="17"/>
      <c r="AC586" s="17"/>
    </row>
    <row r="587" spans="28:29">
      <c r="AB587" s="17"/>
      <c r="AC587" s="17"/>
    </row>
    <row r="588" spans="28:29">
      <c r="AB588" s="17"/>
      <c r="AC588" s="17"/>
    </row>
    <row r="589" spans="28:29">
      <c r="AB589" s="17"/>
      <c r="AC589" s="17"/>
    </row>
    <row r="590" spans="28:29">
      <c r="AB590" s="17"/>
      <c r="AC590" s="17"/>
    </row>
    <row r="591" spans="28:29">
      <c r="AB591" s="17"/>
      <c r="AC591" s="17"/>
    </row>
    <row r="592" spans="28:29">
      <c r="AB592" s="17"/>
      <c r="AC592" s="17"/>
    </row>
    <row r="593" spans="28:29">
      <c r="AB593" s="17"/>
      <c r="AC593" s="17"/>
    </row>
    <row r="594" spans="28:29">
      <c r="AB594" s="17"/>
      <c r="AC594" s="17"/>
    </row>
    <row r="595" spans="28:29">
      <c r="AB595" s="17"/>
      <c r="AC595" s="17"/>
    </row>
    <row r="596" spans="28:29">
      <c r="AB596" s="17"/>
      <c r="AC596" s="17"/>
    </row>
    <row r="597" spans="28:29">
      <c r="AB597" s="17"/>
      <c r="AC597" s="17"/>
    </row>
    <row r="598" spans="28:29">
      <c r="AB598" s="17"/>
      <c r="AC598" s="17"/>
    </row>
    <row r="599" spans="28:29">
      <c r="AB599" s="17"/>
      <c r="AC599" s="17"/>
    </row>
    <row r="600" spans="28:29">
      <c r="AB600" s="17"/>
      <c r="AC600" s="17"/>
    </row>
    <row r="601" spans="28:29">
      <c r="AB601" s="17"/>
      <c r="AC601" s="17"/>
    </row>
    <row r="602" spans="28:29">
      <c r="AB602" s="17"/>
      <c r="AC602" s="17"/>
    </row>
    <row r="603" spans="28:29">
      <c r="AB603" s="17"/>
      <c r="AC603" s="17"/>
    </row>
    <row r="604" spans="28:29">
      <c r="AB604" s="17"/>
      <c r="AC604" s="17"/>
    </row>
    <row r="605" spans="28:29">
      <c r="AB605" s="17"/>
      <c r="AC605" s="17"/>
    </row>
    <row r="606" spans="28:29">
      <c r="AB606" s="17"/>
      <c r="AC606" s="17"/>
    </row>
    <row r="607" spans="28:29">
      <c r="AB607" s="17"/>
      <c r="AC607" s="17"/>
    </row>
    <row r="608" spans="28:29">
      <c r="AB608" s="17"/>
      <c r="AC608" s="17"/>
    </row>
    <row r="609" spans="28:29">
      <c r="AB609" s="17"/>
      <c r="AC609" s="17"/>
    </row>
    <row r="610" spans="28:29">
      <c r="AB610" s="17"/>
      <c r="AC610" s="17"/>
    </row>
    <row r="611" spans="28:29">
      <c r="AB611" s="17"/>
      <c r="AC611" s="17"/>
    </row>
    <row r="612" spans="28:29">
      <c r="AB612" s="17"/>
      <c r="AC612" s="17"/>
    </row>
    <row r="613" spans="28:29">
      <c r="AB613" s="17"/>
      <c r="AC613" s="17"/>
    </row>
    <row r="614" spans="28:29">
      <c r="AB614" s="17"/>
      <c r="AC614" s="17"/>
    </row>
    <row r="615" spans="28:29">
      <c r="AB615" s="17"/>
      <c r="AC615" s="17"/>
    </row>
    <row r="616" spans="28:29">
      <c r="AB616" s="17"/>
      <c r="AC616" s="17"/>
    </row>
    <row r="617" spans="28:29">
      <c r="AB617" s="17"/>
      <c r="AC617" s="17"/>
    </row>
    <row r="618" spans="28:29">
      <c r="AB618" s="17"/>
      <c r="AC618" s="17"/>
    </row>
    <row r="619" spans="28:29">
      <c r="AB619" s="17"/>
      <c r="AC619" s="17"/>
    </row>
    <row r="620" spans="28:29">
      <c r="AB620" s="17"/>
      <c r="AC620" s="17"/>
    </row>
    <row r="621" spans="28:29">
      <c r="AB621" s="17"/>
      <c r="AC621" s="17"/>
    </row>
    <row r="622" spans="28:29">
      <c r="AB622" s="17"/>
      <c r="AC622" s="17"/>
    </row>
    <row r="623" spans="28:29">
      <c r="AB623" s="17"/>
      <c r="AC623" s="17"/>
    </row>
    <row r="624" spans="28:29">
      <c r="AB624" s="17"/>
      <c r="AC624" s="17"/>
    </row>
    <row r="625" spans="28:29">
      <c r="AB625" s="17"/>
      <c r="AC625" s="17"/>
    </row>
    <row r="626" spans="28:29">
      <c r="AB626" s="17"/>
      <c r="AC626" s="17"/>
    </row>
    <row r="627" spans="28:29">
      <c r="AB627" s="17"/>
      <c r="AC627" s="17"/>
    </row>
    <row r="628" spans="28:29">
      <c r="AB628" s="17"/>
      <c r="AC628" s="17"/>
    </row>
    <row r="629" spans="28:29">
      <c r="AB629" s="17"/>
      <c r="AC629" s="17"/>
    </row>
    <row r="630" spans="28:29">
      <c r="AB630" s="17"/>
      <c r="AC630" s="17"/>
    </row>
    <row r="631" spans="28:29">
      <c r="AB631" s="17"/>
      <c r="AC631" s="17"/>
    </row>
    <row r="632" spans="28:29">
      <c r="AB632" s="17"/>
      <c r="AC632" s="17"/>
    </row>
    <row r="633" spans="28:29">
      <c r="AB633" s="17"/>
      <c r="AC633" s="17"/>
    </row>
    <row r="634" spans="28:29">
      <c r="AB634" s="17"/>
      <c r="AC634" s="17"/>
    </row>
    <row r="635" spans="28:29">
      <c r="AB635" s="17"/>
      <c r="AC635" s="17"/>
    </row>
    <row r="636" spans="28:29">
      <c r="AB636" s="17"/>
      <c r="AC636" s="17"/>
    </row>
    <row r="637" spans="28:29">
      <c r="AB637" s="17"/>
      <c r="AC637" s="17"/>
    </row>
    <row r="638" spans="28:29">
      <c r="AB638" s="17"/>
      <c r="AC638" s="17"/>
    </row>
    <row r="639" spans="28:29">
      <c r="AB639" s="17"/>
      <c r="AC639" s="17"/>
    </row>
    <row r="640" spans="28:29">
      <c r="AB640" s="17"/>
      <c r="AC640" s="17"/>
    </row>
    <row r="641" spans="28:29">
      <c r="AB641" s="17"/>
      <c r="AC641" s="17"/>
    </row>
    <row r="642" spans="28:29">
      <c r="AB642" s="17"/>
      <c r="AC642" s="17"/>
    </row>
    <row r="643" spans="28:29">
      <c r="AB643" s="17"/>
      <c r="AC643" s="17"/>
    </row>
    <row r="644" spans="28:29">
      <c r="AB644" s="17"/>
      <c r="AC644" s="17"/>
    </row>
    <row r="645" spans="28:29">
      <c r="AB645" s="17"/>
      <c r="AC645" s="17"/>
    </row>
    <row r="646" spans="28:29">
      <c r="AB646" s="17"/>
      <c r="AC646" s="17"/>
    </row>
    <row r="647" spans="28:29">
      <c r="AB647" s="17"/>
      <c r="AC647" s="17"/>
    </row>
    <row r="648" spans="28:29">
      <c r="AB648" s="17"/>
      <c r="AC648" s="17"/>
    </row>
    <row r="649" spans="28:29">
      <c r="AB649" s="17"/>
      <c r="AC649" s="17"/>
    </row>
    <row r="650" spans="28:29">
      <c r="AB650" s="17"/>
      <c r="AC650" s="17"/>
    </row>
    <row r="651" spans="28:29">
      <c r="AB651" s="17"/>
      <c r="AC651" s="17"/>
    </row>
    <row r="652" spans="28:29">
      <c r="AB652" s="17"/>
      <c r="AC652" s="17"/>
    </row>
    <row r="653" spans="28:29">
      <c r="AB653" s="17"/>
      <c r="AC653" s="17"/>
    </row>
    <row r="654" spans="28:29">
      <c r="AB654" s="17"/>
      <c r="AC654" s="17"/>
    </row>
    <row r="655" spans="28:29">
      <c r="AB655" s="17"/>
      <c r="AC655" s="17"/>
    </row>
    <row r="656" spans="28:29">
      <c r="AB656" s="17"/>
      <c r="AC656" s="17"/>
    </row>
    <row r="657" spans="28:29">
      <c r="AB657" s="17"/>
      <c r="AC657" s="17"/>
    </row>
    <row r="658" spans="28:29">
      <c r="AB658" s="17"/>
      <c r="AC658" s="17"/>
    </row>
    <row r="659" spans="28:29">
      <c r="AB659" s="17"/>
      <c r="AC659" s="17"/>
    </row>
    <row r="660" spans="28:29">
      <c r="AB660" s="17"/>
      <c r="AC660" s="17"/>
    </row>
    <row r="661" spans="28:29">
      <c r="AB661" s="17"/>
      <c r="AC661" s="17"/>
    </row>
    <row r="662" spans="28:29">
      <c r="AB662" s="17"/>
      <c r="AC662" s="17"/>
    </row>
    <row r="663" spans="28:29">
      <c r="AB663" s="17"/>
      <c r="AC663" s="17"/>
    </row>
    <row r="664" spans="28:29">
      <c r="AB664" s="17"/>
      <c r="AC664" s="17"/>
    </row>
    <row r="665" spans="28:29">
      <c r="AB665" s="17"/>
      <c r="AC665" s="17"/>
    </row>
    <row r="666" spans="28:29">
      <c r="AB666" s="17"/>
      <c r="AC666" s="17"/>
    </row>
    <row r="667" spans="28:29">
      <c r="AB667" s="17"/>
      <c r="AC667" s="17"/>
    </row>
    <row r="668" spans="28:29">
      <c r="AB668" s="17"/>
      <c r="AC668" s="17"/>
    </row>
    <row r="669" spans="28:29">
      <c r="AB669" s="17"/>
      <c r="AC669" s="17"/>
    </row>
    <row r="670" spans="28:29">
      <c r="AB670" s="17"/>
      <c r="AC670" s="17"/>
    </row>
    <row r="671" spans="28:29">
      <c r="AB671" s="17"/>
      <c r="AC671" s="17"/>
    </row>
    <row r="672" spans="28:29">
      <c r="AB672" s="17"/>
      <c r="AC672" s="17"/>
    </row>
    <row r="673" spans="28:29">
      <c r="AB673" s="17"/>
      <c r="AC673" s="17"/>
    </row>
    <row r="674" spans="28:29">
      <c r="AB674" s="17"/>
      <c r="AC674" s="17"/>
    </row>
    <row r="675" spans="28:29">
      <c r="AB675" s="17"/>
      <c r="AC675" s="17"/>
    </row>
    <row r="676" spans="28:29">
      <c r="AB676" s="17"/>
      <c r="AC676" s="17"/>
    </row>
    <row r="677" spans="28:29">
      <c r="AB677" s="17"/>
      <c r="AC677" s="17"/>
    </row>
    <row r="678" spans="28:29">
      <c r="AB678" s="17"/>
      <c r="AC678" s="17"/>
    </row>
    <row r="679" spans="28:29">
      <c r="AB679" s="17"/>
      <c r="AC679" s="17"/>
    </row>
    <row r="680" spans="28:29">
      <c r="AB680" s="17"/>
      <c r="AC680" s="17"/>
    </row>
    <row r="681" spans="28:29">
      <c r="AB681" s="17"/>
      <c r="AC681" s="17"/>
    </row>
    <row r="682" spans="28:29">
      <c r="AB682" s="17"/>
      <c r="AC682" s="17"/>
    </row>
    <row r="683" spans="28:29">
      <c r="AB683" s="17"/>
      <c r="AC683" s="17"/>
    </row>
    <row r="684" spans="28:29">
      <c r="AB684" s="17"/>
      <c r="AC684" s="17"/>
    </row>
    <row r="685" spans="28:29">
      <c r="AB685" s="17"/>
      <c r="AC685" s="17"/>
    </row>
    <row r="686" spans="28:29">
      <c r="AB686" s="17"/>
      <c r="AC686" s="17"/>
    </row>
    <row r="687" spans="28:29">
      <c r="AB687" s="17"/>
      <c r="AC687" s="17"/>
    </row>
    <row r="688" spans="28:29">
      <c r="AB688" s="17"/>
      <c r="AC688" s="17"/>
    </row>
    <row r="689" spans="28:29">
      <c r="AB689" s="17"/>
      <c r="AC689" s="17"/>
    </row>
    <row r="690" spans="28:29">
      <c r="AB690" s="17"/>
      <c r="AC690" s="17"/>
    </row>
    <row r="691" spans="28:29">
      <c r="AB691" s="17"/>
      <c r="AC691" s="17"/>
    </row>
    <row r="692" spans="28:29">
      <c r="AB692" s="17"/>
      <c r="AC692" s="17"/>
    </row>
    <row r="693" spans="28:29">
      <c r="AB693" s="17"/>
      <c r="AC693" s="17"/>
    </row>
    <row r="694" spans="28:29">
      <c r="AB694" s="17"/>
      <c r="AC694" s="17"/>
    </row>
    <row r="695" spans="28:29">
      <c r="AB695" s="17"/>
      <c r="AC695" s="17"/>
    </row>
    <row r="696" spans="28:29">
      <c r="AB696" s="17"/>
      <c r="AC696" s="17"/>
    </row>
    <row r="697" spans="28:29">
      <c r="AB697" s="17"/>
      <c r="AC697" s="17"/>
    </row>
    <row r="698" spans="28:29">
      <c r="AB698" s="17"/>
      <c r="AC698" s="17"/>
    </row>
    <row r="699" spans="28:29">
      <c r="AB699" s="17"/>
      <c r="AC699" s="17"/>
    </row>
    <row r="700" spans="28:29">
      <c r="AB700" s="17"/>
      <c r="AC700" s="17"/>
    </row>
    <row r="701" spans="28:29">
      <c r="AB701" s="17"/>
      <c r="AC701" s="17"/>
    </row>
    <row r="702" spans="28:29">
      <c r="AB702" s="17"/>
      <c r="AC702" s="17"/>
    </row>
    <row r="703" spans="28:29">
      <c r="AB703" s="17"/>
      <c r="AC703" s="17"/>
    </row>
    <row r="704" spans="28:29">
      <c r="AB704" s="17"/>
      <c r="AC704" s="17"/>
    </row>
    <row r="705" spans="28:29">
      <c r="AB705" s="17"/>
      <c r="AC705" s="17"/>
    </row>
    <row r="706" spans="28:29">
      <c r="AB706" s="17"/>
      <c r="AC706" s="17"/>
    </row>
    <row r="707" spans="28:29">
      <c r="AB707" s="17"/>
      <c r="AC707" s="17"/>
    </row>
    <row r="708" spans="28:29">
      <c r="AB708" s="17"/>
      <c r="AC708" s="17"/>
    </row>
    <row r="709" spans="28:29">
      <c r="AB709" s="17"/>
      <c r="AC709" s="17"/>
    </row>
    <row r="710" spans="28:29">
      <c r="AB710" s="17"/>
      <c r="AC710" s="17"/>
    </row>
    <row r="711" spans="28:29">
      <c r="AB711" s="17"/>
      <c r="AC711" s="17"/>
    </row>
    <row r="712" spans="28:29">
      <c r="AB712" s="17"/>
      <c r="AC712" s="17"/>
    </row>
    <row r="713" spans="28:29">
      <c r="AB713" s="17"/>
      <c r="AC713" s="17"/>
    </row>
    <row r="714" spans="28:29">
      <c r="AB714" s="17"/>
      <c r="AC714" s="17"/>
    </row>
    <row r="715" spans="28:29">
      <c r="AB715" s="17"/>
      <c r="AC715" s="17"/>
    </row>
    <row r="716" spans="28:29">
      <c r="AB716" s="17"/>
      <c r="AC716" s="17"/>
    </row>
    <row r="717" spans="28:29">
      <c r="AB717" s="17"/>
      <c r="AC717" s="17"/>
    </row>
    <row r="718" spans="28:29">
      <c r="AB718" s="17"/>
      <c r="AC718" s="17"/>
    </row>
    <row r="719" spans="28:29">
      <c r="AB719" s="17"/>
      <c r="AC719" s="17"/>
    </row>
    <row r="720" spans="28:29">
      <c r="AB720" s="17"/>
      <c r="AC720" s="17"/>
    </row>
    <row r="721" spans="28:29">
      <c r="AB721" s="17"/>
      <c r="AC721" s="17"/>
    </row>
    <row r="722" spans="28:29">
      <c r="AB722" s="17"/>
      <c r="AC722" s="17"/>
    </row>
    <row r="723" spans="28:29">
      <c r="AB723" s="17"/>
      <c r="AC723" s="17"/>
    </row>
    <row r="724" spans="28:29">
      <c r="AB724" s="17"/>
      <c r="AC724" s="17"/>
    </row>
    <row r="725" spans="28:29">
      <c r="AB725" s="17"/>
      <c r="AC725" s="17"/>
    </row>
    <row r="726" spans="28:29">
      <c r="AB726" s="17"/>
      <c r="AC726" s="17"/>
    </row>
    <row r="727" spans="28:29">
      <c r="AB727" s="17"/>
      <c r="AC727" s="17"/>
    </row>
    <row r="728" spans="28:29">
      <c r="AB728" s="17"/>
      <c r="AC728" s="17"/>
    </row>
    <row r="729" spans="28:29">
      <c r="AB729" s="17"/>
      <c r="AC729" s="17"/>
    </row>
    <row r="730" spans="28:29">
      <c r="AB730" s="17"/>
      <c r="AC730" s="17"/>
    </row>
    <row r="731" spans="28:29">
      <c r="AB731" s="17"/>
      <c r="AC731" s="17"/>
    </row>
    <row r="732" spans="28:29">
      <c r="AB732" s="17"/>
      <c r="AC732" s="17"/>
    </row>
    <row r="733" spans="28:29">
      <c r="AB733" s="17"/>
      <c r="AC733" s="17"/>
    </row>
    <row r="734" spans="28:29">
      <c r="AB734" s="17"/>
      <c r="AC734" s="17"/>
    </row>
    <row r="735" spans="28:29">
      <c r="AB735" s="17"/>
      <c r="AC735" s="17"/>
    </row>
    <row r="736" spans="28:29">
      <c r="AB736" s="17"/>
      <c r="AC736" s="17"/>
    </row>
    <row r="737" spans="28:29">
      <c r="AB737" s="17"/>
      <c r="AC737" s="17"/>
    </row>
    <row r="738" spans="28:29">
      <c r="AB738" s="17"/>
      <c r="AC738" s="17"/>
    </row>
    <row r="739" spans="28:29">
      <c r="AB739" s="17"/>
      <c r="AC739" s="17"/>
    </row>
    <row r="740" spans="28:29">
      <c r="AB740" s="17"/>
      <c r="AC740" s="17"/>
    </row>
    <row r="741" spans="28:29">
      <c r="AB741" s="17"/>
      <c r="AC741" s="17"/>
    </row>
    <row r="742" spans="28:29">
      <c r="AB742" s="17"/>
      <c r="AC742" s="17"/>
    </row>
    <row r="743" spans="28:29">
      <c r="AB743" s="17"/>
      <c r="AC743" s="17"/>
    </row>
    <row r="744" spans="28:29">
      <c r="AB744" s="17"/>
      <c r="AC744" s="17"/>
    </row>
    <row r="745" spans="28:29">
      <c r="AB745" s="17"/>
      <c r="AC745" s="17"/>
    </row>
    <row r="746" spans="28:29">
      <c r="AB746" s="17"/>
      <c r="AC746" s="17"/>
    </row>
    <row r="747" spans="28:29">
      <c r="AB747" s="17"/>
      <c r="AC747" s="17"/>
    </row>
    <row r="748" spans="28:29">
      <c r="AB748" s="17"/>
      <c r="AC748" s="17"/>
    </row>
    <row r="749" spans="28:29">
      <c r="AB749" s="17"/>
      <c r="AC749" s="17"/>
    </row>
    <row r="750" spans="28:29">
      <c r="AB750" s="17"/>
      <c r="AC750" s="17"/>
    </row>
    <row r="751" spans="28:29">
      <c r="AB751" s="17"/>
      <c r="AC751" s="17"/>
    </row>
    <row r="752" spans="28:29">
      <c r="AB752" s="17"/>
      <c r="AC752" s="17"/>
    </row>
    <row r="753" spans="28:29">
      <c r="AB753" s="17"/>
      <c r="AC753" s="17"/>
    </row>
    <row r="754" spans="28:29">
      <c r="AB754" s="17"/>
      <c r="AC754" s="17"/>
    </row>
    <row r="755" spans="28:29">
      <c r="AB755" s="17"/>
      <c r="AC755" s="17"/>
    </row>
    <row r="756" spans="28:29">
      <c r="AB756" s="17"/>
      <c r="AC756" s="17"/>
    </row>
    <row r="757" spans="28:29">
      <c r="AB757" s="17"/>
      <c r="AC757" s="17"/>
    </row>
    <row r="758" spans="28:29">
      <c r="AB758" s="17"/>
      <c r="AC758" s="17"/>
    </row>
    <row r="759" spans="28:29">
      <c r="AB759" s="17"/>
      <c r="AC759" s="17"/>
    </row>
    <row r="760" spans="28:29">
      <c r="AB760" s="17"/>
      <c r="AC760" s="17"/>
    </row>
    <row r="761" spans="28:29">
      <c r="AB761" s="17"/>
      <c r="AC761" s="17"/>
    </row>
    <row r="762" spans="28:29">
      <c r="AB762" s="17"/>
      <c r="AC762" s="17"/>
    </row>
    <row r="763" spans="28:29">
      <c r="AB763" s="17"/>
      <c r="AC763" s="17"/>
    </row>
    <row r="764" spans="28:29">
      <c r="AB764" s="17"/>
      <c r="AC764" s="17"/>
    </row>
    <row r="765" spans="28:29">
      <c r="AB765" s="17"/>
      <c r="AC765" s="17"/>
    </row>
    <row r="766" spans="28:29">
      <c r="AB766" s="17"/>
      <c r="AC766" s="17"/>
    </row>
    <row r="767" spans="28:29">
      <c r="AB767" s="17"/>
      <c r="AC767" s="17"/>
    </row>
    <row r="768" spans="28:29">
      <c r="AB768" s="17"/>
      <c r="AC768" s="17"/>
    </row>
    <row r="769" spans="28:29">
      <c r="AB769" s="17"/>
      <c r="AC769" s="17"/>
    </row>
    <row r="770" spans="28:29">
      <c r="AB770" s="17"/>
      <c r="AC770" s="17"/>
    </row>
    <row r="771" spans="28:29">
      <c r="AB771" s="17"/>
      <c r="AC771" s="17"/>
    </row>
    <row r="772" spans="28:29">
      <c r="AB772" s="17"/>
      <c r="AC772" s="17"/>
    </row>
    <row r="773" spans="28:29">
      <c r="AB773" s="17"/>
      <c r="AC773" s="17"/>
    </row>
    <row r="774" spans="28:29">
      <c r="AB774" s="17"/>
      <c r="AC774" s="17"/>
    </row>
    <row r="775" spans="28:29">
      <c r="AB775" s="17"/>
      <c r="AC775" s="17"/>
    </row>
    <row r="776" spans="28:29">
      <c r="AB776" s="17"/>
      <c r="AC776" s="17"/>
    </row>
    <row r="777" spans="28:29">
      <c r="AB777" s="17"/>
      <c r="AC777" s="17"/>
    </row>
    <row r="778" spans="28:29">
      <c r="AB778" s="17"/>
      <c r="AC778" s="17"/>
    </row>
    <row r="779" spans="28:29">
      <c r="AB779" s="17"/>
      <c r="AC779" s="17"/>
    </row>
    <row r="780" spans="28:29">
      <c r="AB780" s="17"/>
      <c r="AC780" s="17"/>
    </row>
    <row r="781" spans="28:29">
      <c r="AB781" s="17"/>
      <c r="AC781" s="17"/>
    </row>
    <row r="782" spans="28:29">
      <c r="AB782" s="17"/>
      <c r="AC782" s="17"/>
    </row>
    <row r="783" spans="28:29">
      <c r="AB783" s="17"/>
      <c r="AC783" s="17"/>
    </row>
    <row r="784" spans="28:29">
      <c r="AB784" s="17"/>
      <c r="AC784" s="17"/>
    </row>
    <row r="785" spans="28:29">
      <c r="AB785" s="17"/>
      <c r="AC785" s="17"/>
    </row>
    <row r="786" spans="28:29">
      <c r="AB786" s="17"/>
      <c r="AC786" s="17"/>
    </row>
    <row r="787" spans="28:29">
      <c r="AB787" s="17"/>
      <c r="AC787" s="17"/>
    </row>
    <row r="788" spans="28:29">
      <c r="AB788" s="17"/>
      <c r="AC788" s="17"/>
    </row>
    <row r="789" spans="28:29">
      <c r="AB789" s="17"/>
      <c r="AC789" s="17"/>
    </row>
    <row r="790" spans="28:29">
      <c r="AB790" s="17"/>
      <c r="AC790" s="17"/>
    </row>
    <row r="791" spans="28:29">
      <c r="AB791" s="17"/>
      <c r="AC791" s="17"/>
    </row>
    <row r="792" spans="28:29">
      <c r="AB792" s="17"/>
      <c r="AC792" s="17"/>
    </row>
    <row r="793" spans="28:29">
      <c r="AB793" s="17"/>
      <c r="AC793" s="17"/>
    </row>
    <row r="794" spans="28:29">
      <c r="AB794" s="17"/>
      <c r="AC794" s="17"/>
    </row>
    <row r="795" spans="28:29">
      <c r="AB795" s="17"/>
      <c r="AC795" s="17"/>
    </row>
    <row r="796" spans="28:29">
      <c r="AB796" s="17"/>
      <c r="AC796" s="17"/>
    </row>
    <row r="797" spans="28:29">
      <c r="AB797" s="17"/>
      <c r="AC797" s="17"/>
    </row>
    <row r="798" spans="28:29">
      <c r="AB798" s="17"/>
      <c r="AC798" s="17"/>
    </row>
    <row r="799" spans="28:29">
      <c r="AB799" s="17"/>
      <c r="AC799" s="17"/>
    </row>
    <row r="800" spans="28:29">
      <c r="AB800" s="17"/>
      <c r="AC800" s="17"/>
    </row>
    <row r="801" spans="28:29">
      <c r="AB801" s="17"/>
      <c r="AC801" s="17"/>
    </row>
    <row r="802" spans="28:29">
      <c r="AB802" s="17"/>
      <c r="AC802" s="17"/>
    </row>
    <row r="803" spans="28:29">
      <c r="AB803" s="17"/>
      <c r="AC803" s="17"/>
    </row>
    <row r="804" spans="28:29">
      <c r="AB804" s="17"/>
      <c r="AC804" s="17"/>
    </row>
    <row r="805" spans="28:29">
      <c r="AB805" s="17"/>
      <c r="AC805" s="17"/>
    </row>
    <row r="806" spans="28:29">
      <c r="AB806" s="17"/>
      <c r="AC806" s="17"/>
    </row>
    <row r="807" spans="28:29">
      <c r="AB807" s="17"/>
      <c r="AC807" s="17"/>
    </row>
    <row r="808" spans="28:29">
      <c r="AB808" s="17"/>
      <c r="AC808" s="17"/>
    </row>
    <row r="809" spans="28:29">
      <c r="AB809" s="17"/>
      <c r="AC809" s="17"/>
    </row>
    <row r="810" spans="28:29">
      <c r="AB810" s="17"/>
      <c r="AC810" s="17"/>
    </row>
    <row r="811" spans="28:29">
      <c r="AB811" s="17"/>
      <c r="AC811" s="17"/>
    </row>
    <row r="812" spans="28:29">
      <c r="AB812" s="17"/>
      <c r="AC812" s="17"/>
    </row>
    <row r="813" spans="28:29">
      <c r="AB813" s="17"/>
      <c r="AC813" s="17"/>
    </row>
    <row r="814" spans="28:29">
      <c r="AB814" s="17"/>
      <c r="AC814" s="17"/>
    </row>
    <row r="815" spans="28:29">
      <c r="AB815" s="17"/>
      <c r="AC815" s="17"/>
    </row>
    <row r="816" spans="28:29">
      <c r="AB816" s="17"/>
      <c r="AC816" s="17"/>
    </row>
    <row r="817" spans="28:29">
      <c r="AB817" s="17"/>
      <c r="AC817" s="17"/>
    </row>
    <row r="818" spans="28:29">
      <c r="AB818" s="17"/>
      <c r="AC818" s="17"/>
    </row>
    <row r="819" spans="28:29">
      <c r="AB819" s="17"/>
      <c r="AC819" s="17"/>
    </row>
    <row r="820" spans="28:29">
      <c r="AB820" s="17"/>
      <c r="AC820" s="17"/>
    </row>
    <row r="821" spans="28:29">
      <c r="AB821" s="17"/>
      <c r="AC821" s="17"/>
    </row>
    <row r="822" spans="28:29">
      <c r="AB822" s="17"/>
      <c r="AC822" s="17"/>
    </row>
    <row r="823" spans="28:29">
      <c r="AB823" s="17"/>
      <c r="AC823" s="17"/>
    </row>
    <row r="824" spans="28:29">
      <c r="AB824" s="17"/>
      <c r="AC824" s="17"/>
    </row>
    <row r="825" spans="28:29">
      <c r="AB825" s="17"/>
      <c r="AC825" s="17"/>
    </row>
    <row r="826" spans="28:29">
      <c r="AB826" s="17"/>
      <c r="AC826" s="17"/>
    </row>
    <row r="827" spans="28:29">
      <c r="AB827" s="17"/>
      <c r="AC827" s="17"/>
    </row>
    <row r="828" spans="28:29">
      <c r="AB828" s="17"/>
      <c r="AC828" s="17"/>
    </row>
    <row r="829" spans="28:29">
      <c r="AB829" s="17"/>
      <c r="AC829" s="17"/>
    </row>
    <row r="830" spans="28:29">
      <c r="AB830" s="17"/>
      <c r="AC830" s="17"/>
    </row>
    <row r="831" spans="28:29">
      <c r="AB831" s="17"/>
      <c r="AC831" s="17"/>
    </row>
    <row r="832" spans="28:29">
      <c r="AB832" s="17"/>
      <c r="AC832" s="17"/>
    </row>
    <row r="833" spans="28:29">
      <c r="AB833" s="17"/>
      <c r="AC833" s="17"/>
    </row>
    <row r="834" spans="28:29">
      <c r="AB834" s="17"/>
      <c r="AC834" s="17"/>
    </row>
    <row r="835" spans="28:29">
      <c r="AB835" s="17"/>
      <c r="AC835" s="17"/>
    </row>
    <row r="836" spans="28:29">
      <c r="AB836" s="17"/>
      <c r="AC836" s="17"/>
    </row>
    <row r="837" spans="28:29">
      <c r="AB837" s="17"/>
      <c r="AC837" s="17"/>
    </row>
    <row r="838" spans="28:29">
      <c r="AB838" s="17"/>
      <c r="AC838" s="17"/>
    </row>
    <row r="839" spans="28:29">
      <c r="AB839" s="17"/>
      <c r="AC839" s="17"/>
    </row>
    <row r="840" spans="28:29">
      <c r="AB840" s="17"/>
      <c r="AC840" s="17"/>
    </row>
    <row r="841" spans="28:29">
      <c r="AB841" s="17"/>
      <c r="AC841" s="17"/>
    </row>
    <row r="842" spans="28:29">
      <c r="AB842" s="17"/>
      <c r="AC842" s="17"/>
    </row>
    <row r="843" spans="28:29">
      <c r="AB843" s="17"/>
      <c r="AC843" s="17"/>
    </row>
    <row r="844" spans="28:29">
      <c r="AB844" s="17"/>
      <c r="AC844" s="17"/>
    </row>
    <row r="845" spans="28:29">
      <c r="AB845" s="17"/>
      <c r="AC845" s="17"/>
    </row>
    <row r="846" spans="28:29">
      <c r="AB846" s="17"/>
      <c r="AC846" s="17"/>
    </row>
    <row r="847" spans="28:29">
      <c r="AB847" s="17"/>
      <c r="AC847" s="17"/>
    </row>
    <row r="848" spans="28:29">
      <c r="AB848" s="17"/>
      <c r="AC848" s="17"/>
    </row>
    <row r="849" spans="28:29">
      <c r="AB849" s="17"/>
      <c r="AC849" s="17"/>
    </row>
    <row r="850" spans="28:29">
      <c r="AB850" s="17"/>
      <c r="AC850" s="17"/>
    </row>
    <row r="851" spans="28:29">
      <c r="AB851" s="17"/>
      <c r="AC851" s="17"/>
    </row>
    <row r="852" spans="28:29">
      <c r="AB852" s="17"/>
      <c r="AC852" s="17"/>
    </row>
    <row r="853" spans="28:29">
      <c r="AB853" s="17"/>
      <c r="AC853" s="17"/>
    </row>
    <row r="854" spans="28:29">
      <c r="AB854" s="17"/>
      <c r="AC854" s="17"/>
    </row>
    <row r="855" spans="28:29">
      <c r="AB855" s="17"/>
      <c r="AC855" s="17"/>
    </row>
    <row r="856" spans="28:29">
      <c r="AB856" s="17"/>
      <c r="AC856" s="17"/>
    </row>
    <row r="857" spans="28:29">
      <c r="AB857" s="17"/>
      <c r="AC857" s="17"/>
    </row>
    <row r="858" spans="28:29">
      <c r="AB858" s="17"/>
      <c r="AC858" s="17"/>
    </row>
    <row r="859" spans="28:29">
      <c r="AB859" s="17"/>
      <c r="AC859" s="17"/>
    </row>
    <row r="860" spans="28:29">
      <c r="AB860" s="17"/>
      <c r="AC860" s="17"/>
    </row>
    <row r="861" spans="28:29">
      <c r="AB861" s="17"/>
      <c r="AC861" s="17"/>
    </row>
    <row r="862" spans="28:29">
      <c r="AB862" s="17"/>
      <c r="AC862" s="17"/>
    </row>
    <row r="863" spans="28:29">
      <c r="AB863" s="17"/>
      <c r="AC863" s="17"/>
    </row>
    <row r="864" spans="28:29">
      <c r="AB864" s="17"/>
      <c r="AC864" s="17"/>
    </row>
    <row r="865" spans="28:29">
      <c r="AB865" s="17"/>
      <c r="AC865" s="17"/>
    </row>
    <row r="866" spans="28:29">
      <c r="AB866" s="17"/>
      <c r="AC866" s="17"/>
    </row>
    <row r="867" spans="28:29">
      <c r="AB867" s="17"/>
      <c r="AC867" s="17"/>
    </row>
    <row r="868" spans="28:29">
      <c r="AB868" s="17"/>
      <c r="AC868" s="17"/>
    </row>
    <row r="869" spans="28:29">
      <c r="AB869" s="17"/>
      <c r="AC869" s="17"/>
    </row>
    <row r="870" spans="28:29">
      <c r="AB870" s="17"/>
      <c r="AC870" s="17"/>
    </row>
    <row r="871" spans="28:29">
      <c r="AB871" s="17"/>
      <c r="AC871" s="17"/>
    </row>
    <row r="872" spans="28:29">
      <c r="AB872" s="17"/>
      <c r="AC872" s="17"/>
    </row>
    <row r="873" spans="28:29">
      <c r="AB873" s="17"/>
      <c r="AC873" s="17"/>
    </row>
    <row r="874" spans="28:29">
      <c r="AB874" s="17"/>
      <c r="AC874" s="17"/>
    </row>
    <row r="875" spans="28:29">
      <c r="AB875" s="17"/>
      <c r="AC875" s="17"/>
    </row>
    <row r="876" spans="28:29">
      <c r="AB876" s="17"/>
      <c r="AC876" s="17"/>
    </row>
    <row r="877" spans="28:29">
      <c r="AB877" s="17"/>
      <c r="AC877" s="17"/>
    </row>
    <row r="878" spans="28:29">
      <c r="AB878" s="17"/>
      <c r="AC878" s="17"/>
    </row>
    <row r="879" spans="28:29">
      <c r="AB879" s="17"/>
      <c r="AC879" s="17"/>
    </row>
    <row r="880" spans="28:29">
      <c r="AB880" s="17"/>
      <c r="AC880" s="17"/>
    </row>
    <row r="881" spans="28:29">
      <c r="AB881" s="17"/>
      <c r="AC881" s="17"/>
    </row>
    <row r="882" spans="28:29">
      <c r="AB882" s="17"/>
      <c r="AC882" s="17"/>
    </row>
    <row r="883" spans="28:29">
      <c r="AB883" s="17"/>
      <c r="AC883" s="17"/>
    </row>
    <row r="884" spans="28:29">
      <c r="AB884" s="17"/>
      <c r="AC884" s="17"/>
    </row>
    <row r="885" spans="28:29">
      <c r="AB885" s="17"/>
      <c r="AC885" s="17"/>
    </row>
    <row r="886" spans="28:29">
      <c r="AB886" s="17"/>
      <c r="AC886" s="17"/>
    </row>
    <row r="887" spans="28:29">
      <c r="AB887" s="17"/>
      <c r="AC887" s="17"/>
    </row>
    <row r="888" spans="28:29">
      <c r="AB888" s="17"/>
      <c r="AC888" s="17"/>
    </row>
    <row r="889" spans="28:29">
      <c r="AB889" s="17"/>
      <c r="AC889" s="17"/>
    </row>
    <row r="890" spans="28:29">
      <c r="AB890" s="17"/>
      <c r="AC890" s="17"/>
    </row>
    <row r="891" spans="28:29">
      <c r="AB891" s="17"/>
      <c r="AC891" s="17"/>
    </row>
    <row r="892" spans="28:29">
      <c r="AB892" s="17"/>
      <c r="AC892" s="17"/>
    </row>
    <row r="893" spans="28:29">
      <c r="AB893" s="17"/>
      <c r="AC893" s="17"/>
    </row>
    <row r="894" spans="28:29">
      <c r="AB894" s="17"/>
      <c r="AC894" s="17"/>
    </row>
    <row r="895" spans="28:29">
      <c r="AB895" s="17"/>
      <c r="AC895" s="17"/>
    </row>
    <row r="896" spans="28:29">
      <c r="AB896" s="17"/>
      <c r="AC896" s="17"/>
    </row>
    <row r="897" spans="28:29">
      <c r="AB897" s="17"/>
      <c r="AC897" s="17"/>
    </row>
    <row r="898" spans="28:29">
      <c r="AB898" s="17"/>
      <c r="AC898" s="17"/>
    </row>
    <row r="899" spans="28:29">
      <c r="AB899" s="17"/>
      <c r="AC899" s="17"/>
    </row>
    <row r="900" spans="28:29">
      <c r="AB900" s="17"/>
      <c r="AC900" s="17"/>
    </row>
    <row r="901" spans="28:29">
      <c r="AB901" s="17"/>
      <c r="AC901" s="17"/>
    </row>
    <row r="902" spans="28:29">
      <c r="AB902" s="17"/>
      <c r="AC902" s="17"/>
    </row>
    <row r="903" spans="28:29">
      <c r="AB903" s="17"/>
      <c r="AC903" s="17"/>
    </row>
    <row r="904" spans="28:29">
      <c r="AB904" s="17"/>
      <c r="AC904" s="17"/>
    </row>
    <row r="905" spans="28:29">
      <c r="AB905" s="17"/>
      <c r="AC905" s="17"/>
    </row>
    <row r="906" spans="28:29">
      <c r="AB906" s="17"/>
      <c r="AC906" s="17"/>
    </row>
    <row r="907" spans="28:29">
      <c r="AB907" s="17"/>
      <c r="AC907" s="17"/>
    </row>
    <row r="908" spans="28:29">
      <c r="AB908" s="17"/>
      <c r="AC908" s="17"/>
    </row>
    <row r="909" spans="28:29">
      <c r="AB909" s="17"/>
      <c r="AC909" s="17"/>
    </row>
    <row r="910" spans="28:29">
      <c r="AB910" s="17"/>
      <c r="AC910" s="17"/>
    </row>
    <row r="911" spans="28:29">
      <c r="AB911" s="17"/>
      <c r="AC911" s="17"/>
    </row>
    <row r="912" spans="28:29">
      <c r="AB912" s="17"/>
      <c r="AC912" s="17"/>
    </row>
    <row r="913" spans="28:29">
      <c r="AB913" s="17"/>
      <c r="AC913" s="17"/>
    </row>
    <row r="914" spans="28:29">
      <c r="AB914" s="17"/>
      <c r="AC914" s="17"/>
    </row>
    <row r="915" spans="28:29">
      <c r="AB915" s="17"/>
      <c r="AC915" s="17"/>
    </row>
    <row r="916" spans="28:29">
      <c r="AB916" s="17"/>
      <c r="AC916" s="17"/>
    </row>
    <row r="917" spans="28:29">
      <c r="AB917" s="17"/>
      <c r="AC917" s="17"/>
    </row>
    <row r="918" spans="28:29">
      <c r="AB918" s="17"/>
      <c r="AC918" s="17"/>
    </row>
    <row r="919" spans="28:29">
      <c r="AB919" s="17"/>
      <c r="AC919" s="17"/>
    </row>
    <row r="920" spans="28:29">
      <c r="AB920" s="17"/>
      <c r="AC920" s="17"/>
    </row>
    <row r="921" spans="28:29">
      <c r="AB921" s="17"/>
      <c r="AC921" s="17"/>
    </row>
    <row r="922" spans="28:29">
      <c r="AB922" s="17"/>
      <c r="AC922" s="17"/>
    </row>
    <row r="923" spans="28:29">
      <c r="AB923" s="17"/>
      <c r="AC923" s="17"/>
    </row>
    <row r="924" spans="28:29">
      <c r="AB924" s="17"/>
      <c r="AC924" s="17"/>
    </row>
    <row r="925" spans="28:29">
      <c r="AB925" s="17"/>
      <c r="AC925" s="17"/>
    </row>
    <row r="926" spans="28:29">
      <c r="AB926" s="17"/>
      <c r="AC926" s="17"/>
    </row>
    <row r="927" spans="28:29">
      <c r="AB927" s="17"/>
      <c r="AC927" s="17"/>
    </row>
    <row r="928" spans="28:29">
      <c r="AB928" s="17"/>
      <c r="AC928" s="17"/>
    </row>
    <row r="929" spans="28:29">
      <c r="AB929" s="17"/>
      <c r="AC929" s="17"/>
    </row>
    <row r="930" spans="28:29">
      <c r="AB930" s="17"/>
      <c r="AC930" s="17"/>
    </row>
    <row r="931" spans="28:29">
      <c r="AB931" s="17"/>
      <c r="AC931" s="17"/>
    </row>
    <row r="932" spans="28:29">
      <c r="AB932" s="17"/>
      <c r="AC932" s="17"/>
    </row>
    <row r="933" spans="28:29">
      <c r="AB933" s="17"/>
      <c r="AC933" s="17"/>
    </row>
    <row r="934" spans="28:29">
      <c r="AB934" s="17"/>
      <c r="AC934" s="17"/>
    </row>
    <row r="935" spans="28:29">
      <c r="AB935" s="17"/>
      <c r="AC935" s="17"/>
    </row>
    <row r="936" spans="28:29">
      <c r="AB936" s="17"/>
      <c r="AC936" s="17"/>
    </row>
    <row r="937" spans="28:29">
      <c r="AB937" s="17"/>
      <c r="AC937" s="17"/>
    </row>
    <row r="938" spans="28:29">
      <c r="AB938" s="17"/>
      <c r="AC938" s="17"/>
    </row>
    <row r="939" spans="28:29">
      <c r="AB939" s="17"/>
      <c r="AC939" s="17"/>
    </row>
    <row r="940" spans="28:29">
      <c r="AB940" s="17"/>
      <c r="AC940" s="17"/>
    </row>
    <row r="941" spans="28:29">
      <c r="AB941" s="17"/>
      <c r="AC941" s="17"/>
    </row>
    <row r="942" spans="28:29">
      <c r="AB942" s="17"/>
      <c r="AC942" s="17"/>
    </row>
    <row r="943" spans="28:29">
      <c r="AB943" s="17"/>
      <c r="AC943" s="17"/>
    </row>
    <row r="944" spans="28:29">
      <c r="AB944" s="17"/>
      <c r="AC944" s="17"/>
    </row>
    <row r="945" spans="28:29">
      <c r="AB945" s="17"/>
      <c r="AC945" s="17"/>
    </row>
    <row r="946" spans="28:29">
      <c r="AB946" s="17"/>
      <c r="AC946" s="17"/>
    </row>
    <row r="947" spans="28:29">
      <c r="AB947" s="17"/>
      <c r="AC947" s="17"/>
    </row>
    <row r="948" spans="28:29">
      <c r="AB948" s="17"/>
      <c r="AC948" s="17"/>
    </row>
    <row r="949" spans="28:29">
      <c r="AB949" s="17"/>
      <c r="AC949" s="17"/>
    </row>
    <row r="950" spans="28:29">
      <c r="AB950" s="17"/>
      <c r="AC950" s="17"/>
    </row>
    <row r="951" spans="28:29">
      <c r="AB951" s="17"/>
      <c r="AC951" s="17"/>
    </row>
    <row r="952" spans="28:29">
      <c r="AB952" s="17"/>
      <c r="AC952" s="17"/>
    </row>
    <row r="953" spans="28:29">
      <c r="AB953" s="17"/>
      <c r="AC953" s="17"/>
    </row>
    <row r="954" spans="28:29">
      <c r="AB954" s="17"/>
      <c r="AC954" s="17"/>
    </row>
    <row r="955" spans="28:29">
      <c r="AB955" s="17"/>
      <c r="AC955" s="17"/>
    </row>
    <row r="956" spans="28:29">
      <c r="AB956" s="17"/>
      <c r="AC956" s="17"/>
    </row>
    <row r="957" spans="28:29">
      <c r="AB957" s="17"/>
      <c r="AC957" s="17"/>
    </row>
    <row r="958" spans="28:29">
      <c r="AB958" s="17"/>
      <c r="AC958" s="17"/>
    </row>
    <row r="959" spans="28:29">
      <c r="AB959" s="17"/>
      <c r="AC959" s="17"/>
    </row>
    <row r="960" spans="28:29">
      <c r="AB960" s="17"/>
      <c r="AC960" s="17"/>
    </row>
    <row r="961" spans="28:29">
      <c r="AB961" s="17"/>
      <c r="AC961" s="17"/>
    </row>
    <row r="962" spans="28:29">
      <c r="AB962" s="17"/>
      <c r="AC962" s="17"/>
    </row>
    <row r="963" spans="28:29">
      <c r="AB963" s="17"/>
      <c r="AC963" s="17"/>
    </row>
    <row r="964" spans="28:29">
      <c r="AB964" s="17"/>
      <c r="AC964" s="17"/>
    </row>
    <row r="965" spans="28:29">
      <c r="AB965" s="17"/>
      <c r="AC965" s="17"/>
    </row>
    <row r="966" spans="28:29">
      <c r="AB966" s="17"/>
      <c r="AC966" s="17"/>
    </row>
    <row r="967" spans="28:29">
      <c r="AB967" s="17"/>
      <c r="AC967" s="17"/>
    </row>
    <row r="968" spans="28:29">
      <c r="AB968" s="17"/>
      <c r="AC968" s="17"/>
    </row>
    <row r="969" spans="28:29">
      <c r="AB969" s="17"/>
      <c r="AC969" s="17"/>
    </row>
    <row r="970" spans="28:29">
      <c r="AB970" s="17"/>
      <c r="AC970" s="17"/>
    </row>
    <row r="971" spans="28:29">
      <c r="AB971" s="17"/>
      <c r="AC971" s="17"/>
    </row>
    <row r="972" spans="28:29">
      <c r="AB972" s="17"/>
      <c r="AC972" s="17"/>
    </row>
    <row r="973" spans="28:29">
      <c r="AB973" s="17"/>
      <c r="AC973" s="17"/>
    </row>
    <row r="974" spans="28:29">
      <c r="AB974" s="17"/>
      <c r="AC974" s="17"/>
    </row>
    <row r="975" spans="28:29">
      <c r="AB975" s="17"/>
      <c r="AC975" s="17"/>
    </row>
    <row r="976" spans="28:29">
      <c r="AB976" s="17"/>
      <c r="AC976" s="17"/>
    </row>
    <row r="977" spans="28:29">
      <c r="AB977" s="17"/>
      <c r="AC977" s="17"/>
    </row>
    <row r="978" spans="28:29">
      <c r="AB978" s="17"/>
      <c r="AC978" s="17"/>
    </row>
    <row r="979" spans="28:29">
      <c r="AB979" s="17"/>
      <c r="AC979" s="17"/>
    </row>
    <row r="980" spans="28:29">
      <c r="AB980" s="17"/>
      <c r="AC980" s="17"/>
    </row>
    <row r="981" spans="28:29">
      <c r="AB981" s="17"/>
      <c r="AC981" s="17"/>
    </row>
    <row r="982" spans="28:29">
      <c r="AB982" s="17"/>
      <c r="AC982" s="17"/>
    </row>
    <row r="983" spans="28:29">
      <c r="AB983" s="17"/>
      <c r="AC983" s="17"/>
    </row>
    <row r="984" spans="28:29">
      <c r="AB984" s="17"/>
      <c r="AC984" s="17"/>
    </row>
    <row r="985" spans="28:29">
      <c r="AB985" s="17"/>
      <c r="AC985" s="17"/>
    </row>
    <row r="986" spans="28:29">
      <c r="AB986" s="17"/>
      <c r="AC986" s="17"/>
    </row>
    <row r="987" spans="28:29">
      <c r="AB987" s="17"/>
      <c r="AC987" s="17"/>
    </row>
    <row r="988" spans="28:29">
      <c r="AB988" s="17"/>
      <c r="AC988" s="17"/>
    </row>
    <row r="989" spans="28:29">
      <c r="AB989" s="17"/>
      <c r="AC989" s="17"/>
    </row>
    <row r="990" spans="28:29">
      <c r="AB990" s="17"/>
      <c r="AC990" s="17"/>
    </row>
    <row r="991" spans="28:29">
      <c r="AB991" s="17"/>
      <c r="AC991" s="17"/>
    </row>
    <row r="992" spans="28:29">
      <c r="AB992" s="17"/>
      <c r="AC992" s="17"/>
    </row>
    <row r="993" spans="28:29">
      <c r="AB993" s="17"/>
      <c r="AC993" s="17"/>
    </row>
    <row r="994" spans="28:29">
      <c r="AB994" s="17"/>
      <c r="AC994" s="17"/>
    </row>
    <row r="995" spans="28:29">
      <c r="AB995" s="17"/>
      <c r="AC995" s="17"/>
    </row>
    <row r="996" spans="28:29">
      <c r="AB996" s="17"/>
      <c r="AC996" s="17"/>
    </row>
    <row r="997" spans="28:29">
      <c r="AB997" s="17"/>
      <c r="AC997" s="17"/>
    </row>
    <row r="998" spans="28:29">
      <c r="AB998" s="17"/>
      <c r="AC998" s="17"/>
    </row>
    <row r="999" spans="28:29">
      <c r="AB999" s="17"/>
      <c r="AC999" s="17"/>
    </row>
    <row r="1000" spans="28:29">
      <c r="AB1000" s="17"/>
      <c r="AC1000" s="17"/>
    </row>
    <row r="1001" spans="28:29">
      <c r="AB1001" s="17"/>
      <c r="AC1001" s="17"/>
    </row>
    <row r="1002" spans="28:29">
      <c r="AB1002" s="17"/>
      <c r="AC1002" s="17"/>
    </row>
    <row r="1003" spans="28:29">
      <c r="AB1003" s="17"/>
      <c r="AC1003" s="17"/>
    </row>
    <row r="1004" spans="28:29">
      <c r="AB1004" s="17"/>
      <c r="AC1004" s="17"/>
    </row>
    <row r="1005" spans="28:29">
      <c r="AB1005" s="17"/>
      <c r="AC1005" s="17"/>
    </row>
    <row r="1006" spans="28:29">
      <c r="AB1006" s="17"/>
      <c r="AC1006" s="17"/>
    </row>
    <row r="1007" spans="28:29">
      <c r="AB1007" s="17"/>
      <c r="AC1007" s="17"/>
    </row>
    <row r="1008" spans="28:29">
      <c r="AB1008" s="17"/>
      <c r="AC1008" s="17"/>
    </row>
    <row r="1009" spans="28:29">
      <c r="AB1009" s="17"/>
      <c r="AC1009" s="17"/>
    </row>
    <row r="1010" spans="28:29">
      <c r="AB1010" s="17"/>
      <c r="AC1010" s="17"/>
    </row>
    <row r="1011" spans="28:29">
      <c r="AB1011" s="17"/>
      <c r="AC1011" s="17"/>
    </row>
    <row r="1012" spans="28:29">
      <c r="AB1012" s="17"/>
      <c r="AC1012" s="17"/>
    </row>
    <row r="1013" spans="28:29">
      <c r="AB1013" s="17"/>
      <c r="AC1013" s="17"/>
    </row>
    <row r="1014" spans="28:29">
      <c r="AB1014" s="17"/>
      <c r="AC1014" s="17"/>
    </row>
    <row r="1015" spans="28:29">
      <c r="AB1015" s="17"/>
      <c r="AC1015" s="17"/>
    </row>
    <row r="1016" spans="28:29">
      <c r="AB1016" s="17"/>
      <c r="AC1016" s="17"/>
    </row>
    <row r="1017" spans="28:29">
      <c r="AB1017" s="17"/>
      <c r="AC1017" s="17"/>
    </row>
    <row r="1018" spans="28:29">
      <c r="AB1018" s="17"/>
      <c r="AC1018" s="17"/>
    </row>
    <row r="1019" spans="28:29">
      <c r="AB1019" s="17"/>
      <c r="AC1019" s="17"/>
    </row>
    <row r="1020" spans="28:29">
      <c r="AB1020" s="17"/>
      <c r="AC1020" s="17"/>
    </row>
    <row r="1021" spans="28:29">
      <c r="AB1021" s="17"/>
      <c r="AC1021" s="17"/>
    </row>
    <row r="1022" spans="28:29">
      <c r="AB1022" s="17"/>
      <c r="AC1022" s="17"/>
    </row>
    <row r="1023" spans="28:29">
      <c r="AB1023" s="17"/>
      <c r="AC1023" s="17"/>
    </row>
    <row r="1024" spans="28:29">
      <c r="AB1024" s="17"/>
      <c r="AC1024" s="17"/>
    </row>
    <row r="1025" spans="28:29">
      <c r="AB1025" s="17"/>
      <c r="AC1025" s="17"/>
    </row>
    <row r="1026" spans="28:29">
      <c r="AB1026" s="17"/>
      <c r="AC1026" s="17"/>
    </row>
    <row r="1027" spans="28:29">
      <c r="AB1027" s="17"/>
      <c r="AC1027" s="17"/>
    </row>
    <row r="1028" spans="28:29">
      <c r="AB1028" s="17"/>
      <c r="AC1028" s="17"/>
    </row>
    <row r="1029" spans="28:29">
      <c r="AB1029" s="17"/>
      <c r="AC1029" s="17"/>
    </row>
    <row r="1030" spans="28:29">
      <c r="AB1030" s="17"/>
      <c r="AC1030" s="17"/>
    </row>
    <row r="1031" spans="28:29">
      <c r="AB1031" s="17"/>
      <c r="AC1031" s="17"/>
    </row>
    <row r="1032" spans="28:29">
      <c r="AB1032" s="17"/>
      <c r="AC1032" s="17"/>
    </row>
    <row r="1033" spans="28:29">
      <c r="AB1033" s="17"/>
      <c r="AC1033" s="17"/>
    </row>
    <row r="1034" spans="28:29">
      <c r="AB1034" s="17"/>
      <c r="AC1034" s="17"/>
    </row>
    <row r="1035" spans="28:29">
      <c r="AB1035" s="17"/>
      <c r="AC1035" s="17"/>
    </row>
    <row r="1036" spans="28:29">
      <c r="AB1036" s="17"/>
      <c r="AC1036" s="17"/>
    </row>
    <row r="1037" spans="28:29">
      <c r="AB1037" s="17"/>
      <c r="AC1037" s="17"/>
    </row>
    <row r="1038" spans="28:29">
      <c r="AB1038" s="17"/>
      <c r="AC1038" s="17"/>
    </row>
    <row r="1039" spans="28:29">
      <c r="AB1039" s="17"/>
      <c r="AC1039" s="17"/>
    </row>
    <row r="1040" spans="28:29">
      <c r="AB1040" s="17"/>
      <c r="AC1040" s="17"/>
    </row>
    <row r="1041" spans="28:29">
      <c r="AB1041" s="17"/>
      <c r="AC1041" s="17"/>
    </row>
    <row r="1042" spans="28:29">
      <c r="AB1042" s="17"/>
      <c r="AC1042" s="17"/>
    </row>
    <row r="1043" spans="28:29">
      <c r="AB1043" s="17"/>
      <c r="AC1043" s="17"/>
    </row>
    <row r="1044" spans="28:29">
      <c r="AB1044" s="17"/>
      <c r="AC1044" s="17"/>
    </row>
    <row r="1045" spans="28:29">
      <c r="AB1045" s="17"/>
      <c r="AC1045" s="17"/>
    </row>
    <row r="1046" spans="28:29">
      <c r="AB1046" s="17"/>
      <c r="AC1046" s="17"/>
    </row>
    <row r="1047" spans="28:29">
      <c r="AB1047" s="17"/>
      <c r="AC1047" s="17"/>
    </row>
    <row r="1048" spans="28:29">
      <c r="AB1048" s="17"/>
      <c r="AC1048" s="17"/>
    </row>
    <row r="1049" spans="28:29">
      <c r="AB1049" s="17"/>
      <c r="AC1049" s="17"/>
    </row>
    <row r="1050" spans="28:29">
      <c r="AB1050" s="17"/>
      <c r="AC1050" s="17"/>
    </row>
    <row r="1051" spans="28:29">
      <c r="AB1051" s="17"/>
      <c r="AC1051" s="17"/>
    </row>
    <row r="1052" spans="28:29">
      <c r="AB1052" s="17"/>
      <c r="AC1052" s="17"/>
    </row>
    <row r="1053" spans="28:29">
      <c r="AB1053" s="17"/>
      <c r="AC1053" s="17"/>
    </row>
    <row r="1054" spans="28:29">
      <c r="AB1054" s="17"/>
      <c r="AC1054" s="17"/>
    </row>
    <row r="1055" spans="28:29">
      <c r="AB1055" s="17"/>
      <c r="AC1055" s="17"/>
    </row>
    <row r="1056" spans="28:29">
      <c r="AB1056" s="17"/>
      <c r="AC1056" s="17"/>
    </row>
    <row r="1057" spans="28:29">
      <c r="AB1057" s="17"/>
      <c r="AC1057" s="17"/>
    </row>
    <row r="1058" spans="28:29">
      <c r="AB1058" s="17"/>
      <c r="AC1058" s="17"/>
    </row>
    <row r="1059" spans="28:29">
      <c r="AB1059" s="17"/>
      <c r="AC1059" s="17"/>
    </row>
    <row r="1060" spans="28:29">
      <c r="AB1060" s="17"/>
      <c r="AC1060" s="17"/>
    </row>
    <row r="1061" spans="28:29">
      <c r="AB1061" s="17"/>
      <c r="AC1061" s="17"/>
    </row>
    <row r="1062" spans="28:29">
      <c r="AB1062" s="17"/>
      <c r="AC1062" s="17"/>
    </row>
    <row r="1063" spans="28:29">
      <c r="AB1063" s="17"/>
      <c r="AC1063" s="17"/>
    </row>
    <row r="1064" spans="28:29">
      <c r="AB1064" s="17"/>
      <c r="AC1064" s="17"/>
    </row>
    <row r="1065" spans="28:29">
      <c r="AB1065" s="17"/>
      <c r="AC1065" s="17"/>
    </row>
    <row r="1066" spans="28:29">
      <c r="AB1066" s="17"/>
      <c r="AC1066" s="17"/>
    </row>
    <row r="1067" spans="28:29">
      <c r="AB1067" s="17"/>
      <c r="AC1067" s="17"/>
    </row>
    <row r="1068" spans="28:29">
      <c r="AB1068" s="17"/>
      <c r="AC1068" s="17"/>
    </row>
    <row r="1069" spans="28:29">
      <c r="AB1069" s="17"/>
      <c r="AC1069" s="17"/>
    </row>
    <row r="1070" spans="28:29">
      <c r="AB1070" s="17"/>
      <c r="AC1070" s="17"/>
    </row>
    <row r="1071" spans="28:29">
      <c r="AB1071" s="17"/>
      <c r="AC1071" s="17"/>
    </row>
    <row r="1072" spans="28:29">
      <c r="AB1072" s="17"/>
      <c r="AC1072" s="17"/>
    </row>
    <row r="1073" spans="28:29">
      <c r="AB1073" s="17"/>
      <c r="AC1073" s="17"/>
    </row>
    <row r="1074" spans="28:29">
      <c r="AB1074" s="17"/>
      <c r="AC1074" s="17"/>
    </row>
    <row r="1075" spans="28:29">
      <c r="AB1075" s="17"/>
      <c r="AC1075" s="17"/>
    </row>
    <row r="1076" spans="28:29">
      <c r="AB1076" s="17"/>
      <c r="AC1076" s="17"/>
    </row>
    <row r="1077" spans="28:29">
      <c r="AB1077" s="17"/>
      <c r="AC1077" s="17"/>
    </row>
    <row r="1078" spans="28:29">
      <c r="AB1078" s="17"/>
      <c r="AC1078" s="17"/>
    </row>
    <row r="1079" spans="28:29">
      <c r="AB1079" s="17"/>
      <c r="AC1079" s="17"/>
    </row>
    <row r="1080" spans="28:29">
      <c r="AB1080" s="17"/>
      <c r="AC1080" s="17"/>
    </row>
    <row r="1081" spans="28:29">
      <c r="AB1081" s="17"/>
      <c r="AC1081" s="17"/>
    </row>
    <row r="1082" spans="28:29">
      <c r="AB1082" s="17"/>
      <c r="AC1082" s="17"/>
    </row>
    <row r="1083" spans="28:29">
      <c r="AB1083" s="17"/>
      <c r="AC1083" s="17"/>
    </row>
    <row r="1084" spans="28:29">
      <c r="AB1084" s="17"/>
      <c r="AC1084" s="17"/>
    </row>
    <row r="1085" spans="28:29">
      <c r="AB1085" s="17"/>
      <c r="AC1085" s="17"/>
    </row>
    <row r="1086" spans="28:29">
      <c r="AB1086" s="17"/>
      <c r="AC1086" s="17"/>
    </row>
    <row r="1087" spans="28:29">
      <c r="AB1087" s="17"/>
      <c r="AC1087" s="17"/>
    </row>
    <row r="1088" spans="28:29">
      <c r="AB1088" s="17"/>
      <c r="AC1088" s="17"/>
    </row>
    <row r="1089" spans="28:29">
      <c r="AB1089" s="17"/>
      <c r="AC1089" s="17"/>
    </row>
    <row r="1090" spans="28:29">
      <c r="AB1090" s="17"/>
      <c r="AC1090" s="17"/>
    </row>
    <row r="1091" spans="28:29">
      <c r="AB1091" s="17"/>
      <c r="AC1091" s="17"/>
    </row>
    <row r="1092" spans="28:29">
      <c r="AB1092" s="17"/>
      <c r="AC1092" s="17"/>
    </row>
    <row r="1093" spans="28:29">
      <c r="AB1093" s="17"/>
      <c r="AC1093" s="17"/>
    </row>
    <row r="1094" spans="28:29">
      <c r="AB1094" s="17"/>
      <c r="AC1094" s="17"/>
    </row>
    <row r="1095" spans="28:29">
      <c r="AB1095" s="17"/>
      <c r="AC1095" s="17"/>
    </row>
    <row r="1096" spans="28:29">
      <c r="AB1096" s="17"/>
      <c r="AC1096" s="17"/>
    </row>
    <row r="1097" spans="28:29">
      <c r="AB1097" s="17"/>
      <c r="AC1097" s="17"/>
    </row>
    <row r="1098" spans="28:29">
      <c r="AB1098" s="17"/>
      <c r="AC1098" s="17"/>
    </row>
    <row r="1099" spans="28:29">
      <c r="AB1099" s="17"/>
      <c r="AC1099" s="17"/>
    </row>
    <row r="1100" spans="28:29">
      <c r="AB1100" s="17"/>
      <c r="AC1100" s="17"/>
    </row>
    <row r="1101" spans="28:29">
      <c r="AB1101" s="17"/>
      <c r="AC1101" s="17"/>
    </row>
    <row r="1102" spans="28:29">
      <c r="AB1102" s="17"/>
      <c r="AC1102" s="17"/>
    </row>
    <row r="1103" spans="28:29">
      <c r="AB1103" s="17"/>
      <c r="AC1103" s="17"/>
    </row>
    <row r="1104" spans="28:29">
      <c r="AB1104" s="17"/>
      <c r="AC1104" s="17"/>
    </row>
    <row r="1105" spans="28:29">
      <c r="AB1105" s="17"/>
      <c r="AC1105" s="17"/>
    </row>
    <row r="1106" spans="28:29">
      <c r="AB1106" s="17"/>
      <c r="AC1106" s="17"/>
    </row>
    <row r="1107" spans="28:29">
      <c r="AB1107" s="17"/>
      <c r="AC1107" s="17"/>
    </row>
    <row r="1108" spans="28:29">
      <c r="AB1108" s="17"/>
      <c r="AC1108" s="17"/>
    </row>
    <row r="1109" spans="28:29">
      <c r="AB1109" s="17"/>
      <c r="AC1109" s="17"/>
    </row>
    <row r="1110" spans="28:29">
      <c r="AB1110" s="17"/>
      <c r="AC1110" s="17"/>
    </row>
    <row r="1111" spans="28:29">
      <c r="AB1111" s="17"/>
      <c r="AC1111" s="17"/>
    </row>
    <row r="1112" spans="28:29">
      <c r="AB1112" s="17"/>
      <c r="AC1112" s="17"/>
    </row>
    <row r="1113" spans="28:29">
      <c r="AB1113" s="17"/>
      <c r="AC1113" s="17"/>
    </row>
    <row r="1114" spans="28:29">
      <c r="AB1114" s="17"/>
      <c r="AC1114" s="17"/>
    </row>
    <row r="1115" spans="28:29">
      <c r="AB1115" s="17"/>
      <c r="AC1115" s="17"/>
    </row>
    <row r="1116" spans="28:29">
      <c r="AB1116" s="17"/>
      <c r="AC1116" s="17"/>
    </row>
    <row r="1117" spans="28:29">
      <c r="AB1117" s="17"/>
      <c r="AC1117" s="17"/>
    </row>
    <row r="1118" spans="28:29">
      <c r="AB1118" s="17"/>
      <c r="AC1118" s="17"/>
    </row>
    <row r="1119" spans="28:29">
      <c r="AB1119" s="17"/>
      <c r="AC1119" s="17"/>
    </row>
    <row r="1120" spans="28:29">
      <c r="AB1120" s="17"/>
      <c r="AC1120" s="17"/>
    </row>
    <row r="1121" spans="28:29">
      <c r="AB1121" s="17"/>
      <c r="AC1121" s="17"/>
    </row>
    <row r="1122" spans="28:29">
      <c r="AB1122" s="17"/>
      <c r="AC1122" s="17"/>
    </row>
    <row r="1123" spans="28:29">
      <c r="AB1123" s="17"/>
      <c r="AC1123" s="17"/>
    </row>
    <row r="1124" spans="28:29">
      <c r="AB1124" s="17"/>
      <c r="AC1124" s="17"/>
    </row>
    <row r="1125" spans="28:29">
      <c r="AB1125" s="17"/>
      <c r="AC1125" s="17"/>
    </row>
    <row r="1126" spans="28:29">
      <c r="AB1126" s="17"/>
      <c r="AC1126" s="17"/>
    </row>
    <row r="1127" spans="28:29">
      <c r="AB1127" s="17"/>
      <c r="AC1127" s="17"/>
    </row>
    <row r="1128" spans="28:29">
      <c r="AB1128" s="17"/>
      <c r="AC1128" s="17"/>
    </row>
    <row r="1129" spans="28:29">
      <c r="AB1129" s="17"/>
      <c r="AC1129" s="17"/>
    </row>
    <row r="1130" spans="28:29">
      <c r="AB1130" s="17"/>
      <c r="AC1130" s="17"/>
    </row>
    <row r="1131" spans="28:29">
      <c r="AB1131" s="17"/>
      <c r="AC1131" s="17"/>
    </row>
    <row r="1132" spans="28:29">
      <c r="AB1132" s="17"/>
      <c r="AC1132" s="17"/>
    </row>
    <row r="1133" spans="28:29">
      <c r="AB1133" s="17"/>
      <c r="AC1133" s="17"/>
    </row>
    <row r="1134" spans="28:29">
      <c r="AB1134" s="17"/>
      <c r="AC1134" s="17"/>
    </row>
    <row r="1135" spans="28:29">
      <c r="AB1135" s="17"/>
      <c r="AC1135" s="17"/>
    </row>
    <row r="1136" spans="28:29">
      <c r="AB1136" s="17"/>
      <c r="AC1136" s="17"/>
    </row>
    <row r="1137" spans="28:29">
      <c r="AB1137" s="17"/>
      <c r="AC1137" s="17"/>
    </row>
    <row r="1138" spans="28:29">
      <c r="AB1138" s="17"/>
      <c r="AC1138" s="17"/>
    </row>
    <row r="1139" spans="28:29">
      <c r="AB1139" s="17"/>
      <c r="AC1139" s="17"/>
    </row>
    <row r="1140" spans="28:29">
      <c r="AB1140" s="17"/>
      <c r="AC1140" s="17"/>
    </row>
    <row r="1141" spans="28:29">
      <c r="AB1141" s="17"/>
      <c r="AC1141" s="17"/>
    </row>
    <row r="1142" spans="28:29">
      <c r="AB1142" s="17"/>
      <c r="AC1142" s="17"/>
    </row>
    <row r="1143" spans="28:29">
      <c r="AB1143" s="17"/>
      <c r="AC1143" s="17"/>
    </row>
    <row r="1144" spans="28:29">
      <c r="AB1144" s="17"/>
      <c r="AC1144" s="17"/>
    </row>
    <row r="1145" spans="28:29">
      <c r="AB1145" s="17"/>
      <c r="AC1145" s="17"/>
    </row>
    <row r="1146" spans="28:29">
      <c r="AB1146" s="17"/>
      <c r="AC1146" s="17"/>
    </row>
    <row r="1147" spans="28:29">
      <c r="AB1147" s="17"/>
      <c r="AC1147" s="17"/>
    </row>
    <row r="1148" spans="28:29">
      <c r="AB1148" s="17"/>
      <c r="AC1148" s="17"/>
    </row>
    <row r="1149" spans="28:29">
      <c r="AB1149" s="17"/>
      <c r="AC1149" s="17"/>
    </row>
    <row r="1150" spans="28:29">
      <c r="AB1150" s="17"/>
      <c r="AC1150" s="17"/>
    </row>
    <row r="1151" spans="28:29">
      <c r="AB1151" s="17"/>
      <c r="AC1151" s="17"/>
    </row>
    <row r="1152" spans="28:29">
      <c r="AB1152" s="17"/>
      <c r="AC1152" s="17"/>
    </row>
    <row r="1153" spans="28:29">
      <c r="AB1153" s="17"/>
      <c r="AC1153" s="17"/>
    </row>
    <row r="1154" spans="28:29">
      <c r="AB1154" s="17"/>
      <c r="AC1154" s="17"/>
    </row>
    <row r="1155" spans="28:29">
      <c r="AB1155" s="17"/>
      <c r="AC1155" s="17"/>
    </row>
    <row r="1156" spans="28:29">
      <c r="AB1156" s="17"/>
      <c r="AC1156" s="17"/>
    </row>
    <row r="1157" spans="28:29">
      <c r="AB1157" s="17"/>
      <c r="AC1157" s="17"/>
    </row>
    <row r="1158" spans="28:29">
      <c r="AB1158" s="17"/>
      <c r="AC1158" s="17"/>
    </row>
    <row r="1159" spans="28:29">
      <c r="AB1159" s="17"/>
      <c r="AC1159" s="17"/>
    </row>
    <row r="1160" spans="28:29">
      <c r="AB1160" s="17"/>
      <c r="AC1160" s="17"/>
    </row>
    <row r="1161" spans="28:29">
      <c r="AB1161" s="17"/>
      <c r="AC1161" s="17"/>
    </row>
    <row r="1162" spans="28:29">
      <c r="AB1162" s="17"/>
      <c r="AC1162" s="17"/>
    </row>
    <row r="1163" spans="28:29">
      <c r="AB1163" s="17"/>
      <c r="AC1163" s="17"/>
    </row>
    <row r="1164" spans="28:29">
      <c r="AB1164" s="17"/>
      <c r="AC1164" s="17"/>
    </row>
    <row r="1165" spans="28:29">
      <c r="AB1165" s="17"/>
      <c r="AC1165" s="17"/>
    </row>
    <row r="1166" spans="28:29">
      <c r="AB1166" s="17"/>
      <c r="AC1166" s="17"/>
    </row>
    <row r="1167" spans="28:29">
      <c r="AB1167" s="17"/>
      <c r="AC1167" s="17"/>
    </row>
    <row r="1168" spans="28:29">
      <c r="AB1168" s="17"/>
      <c r="AC1168" s="17"/>
    </row>
    <row r="1169" spans="28:29">
      <c r="AB1169" s="17"/>
      <c r="AC1169" s="17"/>
    </row>
    <row r="1170" spans="28:29">
      <c r="AB1170" s="17"/>
      <c r="AC1170" s="17"/>
    </row>
    <row r="1171" spans="28:29">
      <c r="AB1171" s="17"/>
      <c r="AC1171" s="17"/>
    </row>
    <row r="1172" spans="28:29">
      <c r="AB1172" s="17"/>
      <c r="AC1172" s="17"/>
    </row>
    <row r="1173" spans="28:29">
      <c r="AB1173" s="17"/>
      <c r="AC1173" s="17"/>
    </row>
    <row r="1174" spans="28:29">
      <c r="AB1174" s="17"/>
      <c r="AC1174" s="17"/>
    </row>
    <row r="1175" spans="28:29">
      <c r="AB1175" s="17"/>
      <c r="AC1175" s="17"/>
    </row>
    <row r="1176" spans="28:29">
      <c r="AB1176" s="17"/>
      <c r="AC1176" s="17"/>
    </row>
    <row r="1177" spans="28:29">
      <c r="AB1177" s="17"/>
      <c r="AC1177" s="17"/>
    </row>
    <row r="1178" spans="28:29">
      <c r="AB1178" s="17"/>
      <c r="AC1178" s="17"/>
    </row>
    <row r="1179" spans="28:29">
      <c r="AB1179" s="17"/>
      <c r="AC1179" s="17"/>
    </row>
    <row r="1180" spans="28:29">
      <c r="AB1180" s="17"/>
      <c r="AC1180" s="17"/>
    </row>
    <row r="1181" spans="28:29">
      <c r="AB1181" s="17"/>
      <c r="AC1181" s="17"/>
    </row>
    <row r="1182" spans="28:29">
      <c r="AB1182" s="17"/>
      <c r="AC1182" s="17"/>
    </row>
    <row r="1183" spans="28:29">
      <c r="AB1183" s="17"/>
      <c r="AC1183" s="17"/>
    </row>
    <row r="1184" spans="28:29">
      <c r="AB1184" s="17"/>
      <c r="AC1184" s="17"/>
    </row>
    <row r="1185" spans="28:29">
      <c r="AB1185" s="17"/>
      <c r="AC1185" s="17"/>
    </row>
    <row r="1186" spans="28:29">
      <c r="AB1186" s="17"/>
      <c r="AC1186" s="17"/>
    </row>
    <row r="1187" spans="28:29">
      <c r="AB1187" s="17"/>
      <c r="AC1187" s="17"/>
    </row>
    <row r="1188" spans="28:29">
      <c r="AB1188" s="17"/>
      <c r="AC1188" s="17"/>
    </row>
    <row r="1189" spans="28:29">
      <c r="AB1189" s="17"/>
      <c r="AC1189" s="17"/>
    </row>
    <row r="1190" spans="28:29">
      <c r="AB1190" s="17"/>
      <c r="AC1190" s="17"/>
    </row>
    <row r="1191" spans="28:29">
      <c r="AB1191" s="17"/>
      <c r="AC1191" s="17"/>
    </row>
    <row r="1192" spans="28:29">
      <c r="AB1192" s="17"/>
      <c r="AC1192" s="17"/>
    </row>
    <row r="1193" spans="28:29">
      <c r="AB1193" s="17"/>
      <c r="AC1193" s="17"/>
    </row>
    <row r="1194" spans="28:29">
      <c r="AB1194" s="17"/>
      <c r="AC1194" s="17"/>
    </row>
    <row r="1195" spans="28:29">
      <c r="AB1195" s="17"/>
      <c r="AC1195" s="17"/>
    </row>
    <row r="1196" spans="28:29">
      <c r="AB1196" s="17"/>
      <c r="AC1196" s="17"/>
    </row>
    <row r="1197" spans="28:29">
      <c r="AB1197" s="17"/>
      <c r="AC1197" s="17"/>
    </row>
    <row r="1198" spans="28:29">
      <c r="AB1198" s="17"/>
      <c r="AC1198" s="17"/>
    </row>
    <row r="1199" spans="28:29">
      <c r="AB1199" s="17"/>
      <c r="AC1199" s="17"/>
    </row>
    <row r="1200" spans="28:29">
      <c r="AB1200" s="17"/>
      <c r="AC1200" s="17"/>
    </row>
    <row r="1201" spans="28:29">
      <c r="AB1201" s="17"/>
      <c r="AC1201" s="17"/>
    </row>
    <row r="1202" spans="28:29">
      <c r="AB1202" s="17"/>
      <c r="AC1202" s="17"/>
    </row>
    <row r="1203" spans="28:29">
      <c r="AB1203" s="17"/>
      <c r="AC1203" s="17"/>
    </row>
    <row r="1204" spans="28:29">
      <c r="AB1204" s="17"/>
      <c r="AC1204" s="17"/>
    </row>
    <row r="1205" spans="28:29">
      <c r="AB1205" s="17"/>
      <c r="AC1205" s="17"/>
    </row>
    <row r="1206" spans="28:29">
      <c r="AB1206" s="17"/>
      <c r="AC1206" s="17"/>
    </row>
    <row r="1207" spans="28:29">
      <c r="AB1207" s="17"/>
      <c r="AC1207" s="17"/>
    </row>
    <row r="1208" spans="28:29">
      <c r="AB1208" s="17"/>
      <c r="AC1208" s="17"/>
    </row>
    <row r="1209" spans="28:29">
      <c r="AB1209" s="17"/>
      <c r="AC1209" s="17"/>
    </row>
    <row r="1210" spans="28:29">
      <c r="AB1210" s="17"/>
      <c r="AC1210" s="17"/>
    </row>
    <row r="1211" spans="28:29">
      <c r="AB1211" s="17"/>
      <c r="AC1211" s="17"/>
    </row>
    <row r="1212" spans="28:29">
      <c r="AB1212" s="17"/>
      <c r="AC1212" s="17"/>
    </row>
    <row r="1213" spans="28:29">
      <c r="AB1213" s="17"/>
      <c r="AC1213" s="17"/>
    </row>
    <row r="1214" spans="28:29">
      <c r="AB1214" s="17"/>
      <c r="AC1214" s="17"/>
    </row>
    <row r="1215" spans="28:29">
      <c r="AB1215" s="17"/>
      <c r="AC1215" s="17"/>
    </row>
    <row r="1216" spans="28:29">
      <c r="AB1216" s="17"/>
      <c r="AC1216" s="17"/>
    </row>
    <row r="1217" spans="28:29">
      <c r="AB1217" s="17"/>
      <c r="AC1217" s="17"/>
    </row>
    <row r="1218" spans="28:29">
      <c r="AB1218" s="17"/>
      <c r="AC1218" s="17"/>
    </row>
    <row r="1219" spans="28:29">
      <c r="AB1219" s="17"/>
      <c r="AC1219" s="17"/>
    </row>
    <row r="1220" spans="28:29">
      <c r="AB1220" s="17"/>
      <c r="AC1220" s="17"/>
    </row>
    <row r="1221" spans="28:29">
      <c r="AB1221" s="17"/>
      <c r="AC1221" s="17"/>
    </row>
    <row r="1222" spans="28:29">
      <c r="AB1222" s="17"/>
      <c r="AC1222" s="17"/>
    </row>
    <row r="1223" spans="28:29">
      <c r="AB1223" s="17"/>
      <c r="AC1223" s="17"/>
    </row>
    <row r="1224" spans="28:29">
      <c r="AB1224" s="17"/>
      <c r="AC1224" s="17"/>
    </row>
    <row r="1225" spans="28:29">
      <c r="AB1225" s="17"/>
      <c r="AC1225" s="17"/>
    </row>
    <row r="1226" spans="28:29">
      <c r="AB1226" s="17"/>
      <c r="AC1226" s="17"/>
    </row>
    <row r="1227" spans="28:29">
      <c r="AB1227" s="17"/>
      <c r="AC1227" s="17"/>
    </row>
    <row r="1228" spans="28:29">
      <c r="AB1228" s="17"/>
      <c r="AC1228" s="17"/>
    </row>
    <row r="1229" spans="28:29">
      <c r="AB1229" s="17"/>
      <c r="AC1229" s="17"/>
    </row>
    <row r="1230" spans="28:29">
      <c r="AB1230" s="17"/>
      <c r="AC1230" s="17"/>
    </row>
    <row r="1231" spans="28:29">
      <c r="AB1231" s="17"/>
      <c r="AC1231" s="17"/>
    </row>
    <row r="1232" spans="28:29">
      <c r="AB1232" s="17"/>
      <c r="AC1232" s="17"/>
    </row>
    <row r="1233" spans="28:29">
      <c r="AB1233" s="17"/>
      <c r="AC1233" s="17"/>
    </row>
    <row r="1234" spans="28:29">
      <c r="AB1234" s="17"/>
      <c r="AC1234" s="17"/>
    </row>
    <row r="1235" spans="28:29">
      <c r="AB1235" s="17"/>
      <c r="AC1235" s="17"/>
    </row>
    <row r="1236" spans="28:29">
      <c r="AB1236" s="17"/>
      <c r="AC1236" s="17"/>
    </row>
    <row r="1237" spans="28:29">
      <c r="AB1237" s="17"/>
      <c r="AC1237" s="17"/>
    </row>
    <row r="1238" spans="28:29">
      <c r="AB1238" s="17"/>
      <c r="AC1238" s="17"/>
    </row>
    <row r="1239" spans="28:29">
      <c r="AB1239" s="17"/>
      <c r="AC1239" s="17"/>
    </row>
    <row r="1240" spans="28:29">
      <c r="AB1240" s="17"/>
      <c r="AC1240" s="17"/>
    </row>
    <row r="1241" spans="28:29">
      <c r="AB1241" s="17"/>
      <c r="AC1241" s="17"/>
    </row>
    <row r="1242" spans="28:29">
      <c r="AB1242" s="17"/>
      <c r="AC1242" s="17"/>
    </row>
    <row r="1243" spans="28:29">
      <c r="AB1243" s="17"/>
      <c r="AC1243" s="17"/>
    </row>
    <row r="1244" spans="28:29">
      <c r="AB1244" s="17"/>
      <c r="AC1244" s="17"/>
    </row>
    <row r="1245" spans="28:29">
      <c r="AB1245" s="17"/>
      <c r="AC1245" s="17"/>
    </row>
    <row r="1246" spans="28:29">
      <c r="AB1246" s="17"/>
      <c r="AC1246" s="17"/>
    </row>
    <row r="1247" spans="28:29">
      <c r="AB1247" s="17"/>
      <c r="AC1247" s="17"/>
    </row>
    <row r="1248" spans="28:29">
      <c r="AB1248" s="17"/>
      <c r="AC1248" s="17"/>
    </row>
    <row r="1249" spans="28:29">
      <c r="AB1249" s="17"/>
      <c r="AC1249" s="17"/>
    </row>
    <row r="1250" spans="28:29">
      <c r="AB1250" s="17"/>
      <c r="AC1250" s="17"/>
    </row>
    <row r="1251" spans="28:29">
      <c r="AB1251" s="17"/>
      <c r="AC1251" s="17"/>
    </row>
    <row r="1252" spans="28:29">
      <c r="AB1252" s="17"/>
      <c r="AC1252" s="17"/>
    </row>
    <row r="1253" spans="28:29">
      <c r="AB1253" s="17"/>
      <c r="AC1253" s="17"/>
    </row>
    <row r="1254" spans="28:29">
      <c r="AB1254" s="17"/>
      <c r="AC1254" s="17"/>
    </row>
    <row r="1255" spans="28:29">
      <c r="AB1255" s="17"/>
      <c r="AC1255" s="17"/>
    </row>
    <row r="1256" spans="28:29">
      <c r="AB1256" s="17"/>
      <c r="AC1256" s="17"/>
    </row>
    <row r="1257" spans="28:29">
      <c r="AB1257" s="17"/>
      <c r="AC1257" s="17"/>
    </row>
    <row r="1258" spans="28:29">
      <c r="AB1258" s="17"/>
      <c r="AC1258" s="17"/>
    </row>
    <row r="1259" spans="28:29">
      <c r="AB1259" s="17"/>
      <c r="AC1259" s="17"/>
    </row>
    <row r="1260" spans="28:29">
      <c r="AB1260" s="17"/>
      <c r="AC1260" s="17"/>
    </row>
    <row r="1261" spans="28:29">
      <c r="AB1261" s="17"/>
      <c r="AC1261" s="17"/>
    </row>
    <row r="1262" spans="28:29">
      <c r="AB1262" s="17"/>
      <c r="AC1262" s="17"/>
    </row>
    <row r="1263" spans="28:29">
      <c r="AB1263" s="17"/>
      <c r="AC1263" s="17"/>
    </row>
    <row r="1264" spans="28:29">
      <c r="AB1264" s="17"/>
      <c r="AC1264" s="17"/>
    </row>
    <row r="1265" spans="28:29">
      <c r="AB1265" s="17"/>
      <c r="AC1265" s="17"/>
    </row>
    <row r="1266" spans="28:29">
      <c r="AB1266" s="17"/>
      <c r="AC1266" s="17"/>
    </row>
    <row r="1267" spans="28:29">
      <c r="AB1267" s="17"/>
      <c r="AC1267" s="17"/>
    </row>
    <row r="1268" spans="28:29">
      <c r="AB1268" s="17"/>
      <c r="AC1268" s="17"/>
    </row>
    <row r="1269" spans="28:29">
      <c r="AB1269" s="17"/>
      <c r="AC1269" s="17"/>
    </row>
    <row r="1270" spans="28:29">
      <c r="AB1270" s="17"/>
      <c r="AC1270" s="17"/>
    </row>
    <row r="1271" spans="28:29">
      <c r="AB1271" s="17"/>
      <c r="AC1271" s="17"/>
    </row>
    <row r="1272" spans="28:29">
      <c r="AB1272" s="17"/>
      <c r="AC1272" s="17"/>
    </row>
    <row r="1273" spans="28:29">
      <c r="AB1273" s="17"/>
      <c r="AC1273" s="17"/>
    </row>
    <row r="1274" spans="28:29">
      <c r="AB1274" s="17"/>
      <c r="AC1274" s="17"/>
    </row>
    <row r="1275" spans="28:29">
      <c r="AB1275" s="17"/>
      <c r="AC1275" s="17"/>
    </row>
    <row r="1276" spans="28:29">
      <c r="AB1276" s="17"/>
      <c r="AC1276" s="17"/>
    </row>
    <row r="1277" spans="28:29">
      <c r="AB1277" s="17"/>
      <c r="AC1277" s="17"/>
    </row>
    <row r="1278" spans="28:29">
      <c r="AB1278" s="17"/>
      <c r="AC1278" s="17"/>
    </row>
    <row r="1279" spans="28:29">
      <c r="AB1279" s="17"/>
      <c r="AC1279" s="17"/>
    </row>
    <row r="1280" spans="28:29">
      <c r="AB1280" s="17"/>
      <c r="AC1280" s="17"/>
    </row>
    <row r="1281" spans="28:29">
      <c r="AB1281" s="17"/>
      <c r="AC1281" s="17"/>
    </row>
    <row r="1282" spans="28:29">
      <c r="AB1282" s="17"/>
      <c r="AC1282" s="17"/>
    </row>
    <row r="1283" spans="28:29">
      <c r="AB1283" s="17"/>
      <c r="AC1283" s="17"/>
    </row>
    <row r="1284" spans="28:29">
      <c r="AB1284" s="17"/>
      <c r="AC1284" s="17"/>
    </row>
    <row r="1285" spans="28:29">
      <c r="AB1285" s="17"/>
      <c r="AC1285" s="17"/>
    </row>
    <row r="1286" spans="28:29">
      <c r="AB1286" s="17"/>
      <c r="AC1286" s="17"/>
    </row>
    <row r="1287" spans="28:29">
      <c r="AB1287" s="17"/>
      <c r="AC1287" s="17"/>
    </row>
    <row r="1288" spans="28:29">
      <c r="AB1288" s="17"/>
      <c r="AC1288" s="17"/>
    </row>
    <row r="1289" spans="28:29">
      <c r="AB1289" s="17"/>
      <c r="AC1289" s="17"/>
    </row>
    <row r="1290" spans="28:29">
      <c r="AB1290" s="17"/>
      <c r="AC1290" s="17"/>
    </row>
    <row r="1291" spans="28:29">
      <c r="AB1291" s="17"/>
      <c r="AC1291" s="17"/>
    </row>
    <row r="1292" spans="28:29">
      <c r="AB1292" s="17"/>
      <c r="AC1292" s="17"/>
    </row>
    <row r="1293" spans="28:29">
      <c r="AB1293" s="17"/>
      <c r="AC1293" s="17"/>
    </row>
    <row r="1294" spans="28:29">
      <c r="AB1294" s="17"/>
      <c r="AC1294" s="17"/>
    </row>
    <row r="1295" spans="28:29">
      <c r="AB1295" s="17"/>
      <c r="AC1295" s="17"/>
    </row>
    <row r="1296" spans="28:29">
      <c r="AB1296" s="17"/>
      <c r="AC1296" s="17"/>
    </row>
    <row r="1297" spans="28:29">
      <c r="AB1297" s="17"/>
      <c r="AC1297" s="17"/>
    </row>
    <row r="1298" spans="28:29">
      <c r="AB1298" s="17"/>
      <c r="AC1298" s="17"/>
    </row>
    <row r="1299" spans="28:29">
      <c r="AB1299" s="17"/>
      <c r="AC1299" s="17"/>
    </row>
    <row r="1300" spans="28:29">
      <c r="AB1300" s="17"/>
      <c r="AC1300" s="17"/>
    </row>
    <row r="1301" spans="28:29">
      <c r="AB1301" s="17"/>
      <c r="AC1301" s="17"/>
    </row>
    <row r="1302" spans="28:29">
      <c r="AB1302" s="17"/>
      <c r="AC1302" s="17"/>
    </row>
    <row r="1303" spans="28:29">
      <c r="AB1303" s="17"/>
      <c r="AC1303" s="17"/>
    </row>
    <row r="1304" spans="28:29">
      <c r="AB1304" s="17"/>
      <c r="AC1304" s="17"/>
    </row>
    <row r="1305" spans="28:29">
      <c r="AB1305" s="17"/>
      <c r="AC1305" s="17"/>
    </row>
    <row r="1306" spans="28:29">
      <c r="AB1306" s="17"/>
      <c r="AC1306" s="17"/>
    </row>
    <row r="1307" spans="28:29">
      <c r="AB1307" s="17"/>
      <c r="AC1307" s="17"/>
    </row>
    <row r="1308" spans="28:29">
      <c r="AB1308" s="17"/>
      <c r="AC1308" s="17"/>
    </row>
    <row r="1309" spans="28:29">
      <c r="AB1309" s="17"/>
      <c r="AC1309" s="17"/>
    </row>
    <row r="1310" spans="28:29">
      <c r="AB1310" s="17"/>
      <c r="AC1310" s="17"/>
    </row>
    <row r="1311" spans="28:29">
      <c r="AB1311" s="17"/>
      <c r="AC1311" s="17"/>
    </row>
    <row r="1312" spans="28:29">
      <c r="AB1312" s="17"/>
      <c r="AC1312" s="17"/>
    </row>
    <row r="1313" spans="28:29">
      <c r="AB1313" s="17"/>
      <c r="AC1313" s="17"/>
    </row>
    <row r="1314" spans="28:29">
      <c r="AB1314" s="17"/>
      <c r="AC1314" s="17"/>
    </row>
    <row r="1315" spans="28:29">
      <c r="AB1315" s="17"/>
      <c r="AC1315" s="17"/>
    </row>
    <row r="1316" spans="28:29">
      <c r="AB1316" s="17"/>
      <c r="AC1316" s="17"/>
    </row>
    <row r="1317" spans="28:29">
      <c r="AB1317" s="17"/>
      <c r="AC1317" s="17"/>
    </row>
    <row r="1318" spans="28:29">
      <c r="AB1318" s="17"/>
      <c r="AC1318" s="17"/>
    </row>
    <row r="1319" spans="28:29">
      <c r="AB1319" s="17"/>
      <c r="AC1319" s="17"/>
    </row>
    <row r="1320" spans="28:29">
      <c r="AB1320" s="17"/>
      <c r="AC1320" s="17"/>
    </row>
    <row r="1321" spans="28:29">
      <c r="AB1321" s="17"/>
      <c r="AC1321" s="17"/>
    </row>
    <row r="1322" spans="28:29">
      <c r="AB1322" s="17"/>
      <c r="AC1322" s="17"/>
    </row>
    <row r="1323" spans="28:29">
      <c r="AB1323" s="17"/>
      <c r="AC1323" s="17"/>
    </row>
    <row r="1324" spans="28:29">
      <c r="AB1324" s="17"/>
      <c r="AC1324" s="17"/>
    </row>
    <row r="1325" spans="28:29">
      <c r="AB1325" s="17"/>
      <c r="AC1325" s="17"/>
    </row>
    <row r="1326" spans="28:29">
      <c r="AB1326" s="17"/>
      <c r="AC1326" s="17"/>
    </row>
    <row r="1327" spans="28:29">
      <c r="AB1327" s="17"/>
      <c r="AC1327" s="17"/>
    </row>
    <row r="1328" spans="28:29">
      <c r="AB1328" s="17"/>
      <c r="AC1328" s="17"/>
    </row>
    <row r="1329" spans="28:29">
      <c r="AB1329" s="17"/>
      <c r="AC1329" s="17"/>
    </row>
    <row r="1330" spans="28:29">
      <c r="AB1330" s="17"/>
      <c r="AC1330" s="17"/>
    </row>
    <row r="1331" spans="28:29">
      <c r="AB1331" s="17"/>
      <c r="AC1331" s="17"/>
    </row>
    <row r="1332" spans="28:29">
      <c r="AB1332" s="17"/>
      <c r="AC1332" s="17"/>
    </row>
    <row r="1333" spans="28:29">
      <c r="AB1333" s="17"/>
      <c r="AC1333" s="17"/>
    </row>
    <row r="1334" spans="28:29">
      <c r="AB1334" s="17"/>
      <c r="AC1334" s="17"/>
    </row>
    <row r="1335" spans="28:29">
      <c r="AB1335" s="17"/>
      <c r="AC1335" s="17"/>
    </row>
    <row r="1336" spans="28:29">
      <c r="AB1336" s="17"/>
      <c r="AC1336" s="17"/>
    </row>
    <row r="1337" spans="28:29">
      <c r="AB1337" s="17"/>
      <c r="AC1337" s="17"/>
    </row>
    <row r="1338" spans="28:29">
      <c r="AB1338" s="17"/>
      <c r="AC1338" s="17"/>
    </row>
    <row r="1339" spans="28:29">
      <c r="AB1339" s="17"/>
      <c r="AC1339" s="17"/>
    </row>
    <row r="1340" spans="28:29">
      <c r="AB1340" s="17"/>
      <c r="AC1340" s="17"/>
    </row>
    <row r="1341" spans="28:29">
      <c r="AB1341" s="17"/>
      <c r="AC1341" s="17"/>
    </row>
    <row r="1342" spans="28:29">
      <c r="AB1342" s="17"/>
      <c r="AC1342" s="17"/>
    </row>
    <row r="1343" spans="28:29">
      <c r="AB1343" s="17"/>
      <c r="AC1343" s="17"/>
    </row>
    <row r="1344" spans="28:29">
      <c r="AB1344" s="17"/>
      <c r="AC1344" s="17"/>
    </row>
    <row r="1345" spans="28:29">
      <c r="AB1345" s="17"/>
      <c r="AC1345" s="17"/>
    </row>
    <row r="1346" spans="28:29">
      <c r="AB1346" s="17"/>
      <c r="AC1346" s="17"/>
    </row>
    <row r="1347" spans="28:29">
      <c r="AB1347" s="17"/>
      <c r="AC1347" s="17"/>
    </row>
    <row r="1348" spans="28:29">
      <c r="AB1348" s="17"/>
      <c r="AC1348" s="17"/>
    </row>
    <row r="1349" spans="28:29">
      <c r="AB1349" s="17"/>
      <c r="AC1349" s="17"/>
    </row>
    <row r="1350" spans="28:29">
      <c r="AB1350" s="17"/>
      <c r="AC1350" s="17"/>
    </row>
    <row r="1351" spans="28:29">
      <c r="AB1351" s="17"/>
      <c r="AC1351" s="17"/>
    </row>
    <row r="1352" spans="28:29">
      <c r="AB1352" s="17"/>
      <c r="AC1352" s="17"/>
    </row>
    <row r="1353" spans="28:29">
      <c r="AB1353" s="17"/>
      <c r="AC1353" s="17"/>
    </row>
    <row r="1354" spans="28:29">
      <c r="AB1354" s="17"/>
      <c r="AC1354" s="17"/>
    </row>
    <row r="1355" spans="28:29">
      <c r="AB1355" s="17"/>
      <c r="AC1355" s="17"/>
    </row>
    <row r="1356" spans="28:29">
      <c r="AB1356" s="17"/>
      <c r="AC1356" s="17"/>
    </row>
    <row r="1357" spans="28:29">
      <c r="AB1357" s="17"/>
      <c r="AC1357" s="17"/>
    </row>
    <row r="1358" spans="28:29">
      <c r="AB1358" s="17"/>
      <c r="AC1358" s="17"/>
    </row>
    <row r="1359" spans="28:29">
      <c r="AB1359" s="17"/>
      <c r="AC1359" s="17"/>
    </row>
    <row r="1360" spans="28:29">
      <c r="AB1360" s="17"/>
      <c r="AC1360" s="17"/>
    </row>
    <row r="1361" spans="28:29">
      <c r="AB1361" s="17"/>
      <c r="AC1361" s="17"/>
    </row>
    <row r="1362" spans="28:29">
      <c r="AB1362" s="17"/>
      <c r="AC1362" s="17"/>
    </row>
    <row r="1363" spans="28:29">
      <c r="AB1363" s="17"/>
      <c r="AC1363" s="17"/>
    </row>
    <row r="1364" spans="28:29">
      <c r="AB1364" s="17"/>
      <c r="AC1364" s="17"/>
    </row>
    <row r="1365" spans="28:29">
      <c r="AB1365" s="17"/>
      <c r="AC1365" s="17"/>
    </row>
    <row r="1366" spans="28:29">
      <c r="AB1366" s="17"/>
      <c r="AC1366" s="17"/>
    </row>
    <row r="1367" spans="28:29">
      <c r="AB1367" s="17"/>
      <c r="AC1367" s="17"/>
    </row>
    <row r="1368" spans="28:29">
      <c r="AB1368" s="17"/>
      <c r="AC1368" s="17"/>
    </row>
    <row r="1369" spans="28:29">
      <c r="AB1369" s="17"/>
      <c r="AC1369" s="17"/>
    </row>
    <row r="1370" spans="28:29">
      <c r="AB1370" s="17"/>
      <c r="AC1370" s="17"/>
    </row>
    <row r="1371" spans="28:29">
      <c r="AB1371" s="17"/>
      <c r="AC1371" s="17"/>
    </row>
    <row r="1372" spans="28:29">
      <c r="AB1372" s="17"/>
      <c r="AC1372" s="17"/>
    </row>
    <row r="1373" spans="28:29">
      <c r="AB1373" s="17"/>
      <c r="AC1373" s="17"/>
    </row>
    <row r="1374" spans="28:29">
      <c r="AB1374" s="17"/>
      <c r="AC1374" s="17"/>
    </row>
    <row r="1375" spans="28:29">
      <c r="AB1375" s="17"/>
      <c r="AC1375" s="17"/>
    </row>
    <row r="1376" spans="28:29">
      <c r="AB1376" s="17"/>
      <c r="AC1376" s="17"/>
    </row>
    <row r="1377" spans="28:29">
      <c r="AB1377" s="17"/>
      <c r="AC1377" s="17"/>
    </row>
    <row r="1378" spans="28:29">
      <c r="AB1378" s="17"/>
      <c r="AC1378" s="17"/>
    </row>
    <row r="1379" spans="28:29">
      <c r="AB1379" s="17"/>
      <c r="AC1379" s="17"/>
    </row>
    <row r="1380" spans="28:29">
      <c r="AB1380" s="17"/>
      <c r="AC1380" s="17"/>
    </row>
    <row r="1381" spans="28:29">
      <c r="AB1381" s="17"/>
      <c r="AC1381" s="17"/>
    </row>
    <row r="1382" spans="28:29">
      <c r="AB1382" s="17"/>
      <c r="AC1382" s="17"/>
    </row>
    <row r="1383" spans="28:29">
      <c r="AB1383" s="17"/>
      <c r="AC1383" s="17"/>
    </row>
    <row r="1384" spans="28:29">
      <c r="AB1384" s="17"/>
      <c r="AC1384" s="17"/>
    </row>
    <row r="1385" spans="28:29">
      <c r="AB1385" s="17"/>
      <c r="AC1385" s="17"/>
    </row>
    <row r="1386" spans="28:29">
      <c r="AB1386" s="17"/>
      <c r="AC1386" s="17"/>
    </row>
    <row r="1387" spans="28:29">
      <c r="AB1387" s="17"/>
      <c r="AC1387" s="17"/>
    </row>
    <row r="1388" spans="28:29">
      <c r="AB1388" s="17"/>
      <c r="AC1388" s="17"/>
    </row>
    <row r="1389" spans="28:29">
      <c r="AB1389" s="17"/>
      <c r="AC1389" s="17"/>
    </row>
    <row r="1390" spans="28:29">
      <c r="AB1390" s="17"/>
      <c r="AC1390" s="17"/>
    </row>
    <row r="1391" spans="28:29">
      <c r="AB1391" s="17"/>
      <c r="AC1391" s="17"/>
    </row>
    <row r="1392" spans="28:29">
      <c r="AB1392" s="17"/>
      <c r="AC1392" s="17"/>
    </row>
    <row r="1393" spans="28:29">
      <c r="AB1393" s="17"/>
      <c r="AC1393" s="17"/>
    </row>
    <row r="1394" spans="28:29">
      <c r="AB1394" s="17"/>
      <c r="AC1394" s="17"/>
    </row>
    <row r="1395" spans="28:29">
      <c r="AB1395" s="17"/>
      <c r="AC1395" s="17"/>
    </row>
    <row r="1396" spans="28:29">
      <c r="AB1396" s="17"/>
      <c r="AC1396" s="17"/>
    </row>
    <row r="1397" spans="28:29">
      <c r="AB1397" s="17"/>
      <c r="AC1397" s="17"/>
    </row>
    <row r="1398" spans="28:29">
      <c r="AB1398" s="17"/>
      <c r="AC1398" s="17"/>
    </row>
    <row r="1399" spans="28:29">
      <c r="AB1399" s="17"/>
      <c r="AC1399" s="17"/>
    </row>
    <row r="1400" spans="28:29">
      <c r="AB1400" s="17"/>
      <c r="AC1400" s="17"/>
    </row>
    <row r="1401" spans="28:29">
      <c r="AB1401" s="17"/>
      <c r="AC1401" s="17"/>
    </row>
    <row r="1402" spans="28:29">
      <c r="AB1402" s="17"/>
      <c r="AC1402" s="17"/>
    </row>
    <row r="1403" spans="28:29">
      <c r="AB1403" s="17"/>
      <c r="AC1403" s="17"/>
    </row>
    <row r="1404" spans="28:29">
      <c r="AB1404" s="17"/>
      <c r="AC1404" s="17"/>
    </row>
    <row r="1405" spans="28:29">
      <c r="AB1405" s="17"/>
      <c r="AC1405" s="17"/>
    </row>
    <row r="1406" spans="28:29">
      <c r="AB1406" s="17"/>
      <c r="AC1406" s="17"/>
    </row>
    <row r="1407" spans="28:29">
      <c r="AB1407" s="17"/>
      <c r="AC1407" s="17"/>
    </row>
    <row r="1408" spans="28:29">
      <c r="AB1408" s="17"/>
      <c r="AC1408" s="17"/>
    </row>
    <row r="1409" spans="28:29">
      <c r="AB1409" s="17"/>
      <c r="AC1409" s="17"/>
    </row>
    <row r="1410" spans="28:29">
      <c r="AB1410" s="17"/>
      <c r="AC1410" s="17"/>
    </row>
    <row r="1411" spans="28:29">
      <c r="AB1411" s="17"/>
      <c r="AC1411" s="17"/>
    </row>
    <row r="1412" spans="28:29">
      <c r="AB1412" s="17"/>
      <c r="AC1412" s="17"/>
    </row>
    <row r="1413" spans="28:29">
      <c r="AB1413" s="17"/>
      <c r="AC1413" s="17"/>
    </row>
    <row r="1414" spans="28:29">
      <c r="AB1414" s="17"/>
      <c r="AC1414" s="17"/>
    </row>
    <row r="1415" spans="28:29">
      <c r="AB1415" s="17"/>
      <c r="AC1415" s="17"/>
    </row>
    <row r="1416" spans="28:29">
      <c r="AB1416" s="17"/>
      <c r="AC1416" s="17"/>
    </row>
    <row r="1417" spans="28:29">
      <c r="AB1417" s="17"/>
      <c r="AC1417" s="17"/>
    </row>
    <row r="1418" spans="28:29">
      <c r="AB1418" s="17"/>
      <c r="AC1418" s="17"/>
    </row>
    <row r="1419" spans="28:29">
      <c r="AB1419" s="17"/>
      <c r="AC1419" s="17"/>
    </row>
    <row r="1420" spans="28:29">
      <c r="AB1420" s="17"/>
      <c r="AC1420" s="17"/>
    </row>
    <row r="1421" spans="28:29">
      <c r="AB1421" s="17"/>
      <c r="AC1421" s="17"/>
    </row>
    <row r="1422" spans="28:29">
      <c r="AB1422" s="17"/>
      <c r="AC1422" s="17"/>
    </row>
    <row r="1423" spans="28:29">
      <c r="AB1423" s="17"/>
      <c r="AC1423" s="17"/>
    </row>
    <row r="1424" spans="28:29">
      <c r="AB1424" s="17"/>
      <c r="AC1424" s="17"/>
    </row>
    <row r="1425" spans="28:29">
      <c r="AB1425" s="17"/>
      <c r="AC1425" s="17"/>
    </row>
    <row r="1426" spans="28:29">
      <c r="AB1426" s="17"/>
      <c r="AC1426" s="17"/>
    </row>
    <row r="1427" spans="28:29">
      <c r="AB1427" s="17"/>
      <c r="AC1427" s="17"/>
    </row>
    <row r="1428" spans="28:29">
      <c r="AB1428" s="17"/>
      <c r="AC1428" s="17"/>
    </row>
    <row r="1429" spans="28:29">
      <c r="AB1429" s="17"/>
      <c r="AC1429" s="17"/>
    </row>
    <row r="1430" spans="28:29">
      <c r="AB1430" s="17"/>
      <c r="AC1430" s="17"/>
    </row>
    <row r="1431" spans="28:29">
      <c r="AB1431" s="17"/>
      <c r="AC1431" s="17"/>
    </row>
    <row r="1432" spans="28:29">
      <c r="AB1432" s="17"/>
      <c r="AC1432" s="17"/>
    </row>
    <row r="1433" spans="28:29">
      <c r="AB1433" s="17"/>
      <c r="AC1433" s="17"/>
    </row>
    <row r="1434" spans="28:29">
      <c r="AB1434" s="17"/>
      <c r="AC1434" s="17"/>
    </row>
    <row r="1435" spans="28:29">
      <c r="AB1435" s="17"/>
      <c r="AC1435" s="17"/>
    </row>
    <row r="1436" spans="28:29">
      <c r="AB1436" s="17"/>
      <c r="AC1436" s="17"/>
    </row>
    <row r="1437" spans="28:29">
      <c r="AB1437" s="17"/>
      <c r="AC1437" s="17"/>
    </row>
    <row r="1438" spans="28:29">
      <c r="AB1438" s="17"/>
      <c r="AC1438" s="17"/>
    </row>
    <row r="1439" spans="28:29">
      <c r="AB1439" s="17"/>
      <c r="AC1439" s="17"/>
    </row>
    <row r="1440" spans="28:29">
      <c r="AB1440" s="17"/>
      <c r="AC1440" s="17"/>
    </row>
    <row r="1441" spans="28:29">
      <c r="AB1441" s="17"/>
      <c r="AC1441" s="17"/>
    </row>
    <row r="1442" spans="28:29">
      <c r="AB1442" s="17"/>
      <c r="AC1442" s="17"/>
    </row>
    <row r="1443" spans="28:29">
      <c r="AB1443" s="17"/>
      <c r="AC1443" s="17"/>
    </row>
    <row r="1444" spans="28:29">
      <c r="AB1444" s="17"/>
      <c r="AC1444" s="17"/>
    </row>
    <row r="1445" spans="28:29">
      <c r="AB1445" s="17"/>
      <c r="AC1445" s="17"/>
    </row>
    <row r="1446" spans="28:29">
      <c r="AB1446" s="17"/>
      <c r="AC1446" s="17"/>
    </row>
    <row r="1447" spans="28:29">
      <c r="AB1447" s="17"/>
      <c r="AC1447" s="17"/>
    </row>
    <row r="1448" spans="28:29">
      <c r="AB1448" s="17"/>
      <c r="AC1448" s="17"/>
    </row>
    <row r="1449" spans="28:29">
      <c r="AB1449" s="17"/>
      <c r="AC1449" s="17"/>
    </row>
    <row r="1450" spans="28:29">
      <c r="AB1450" s="17"/>
      <c r="AC1450" s="17"/>
    </row>
    <row r="1451" spans="28:29">
      <c r="AB1451" s="17"/>
      <c r="AC1451" s="17"/>
    </row>
    <row r="1452" spans="28:29">
      <c r="AB1452" s="17"/>
      <c r="AC1452" s="17"/>
    </row>
    <row r="1453" spans="28:29">
      <c r="AB1453" s="17"/>
      <c r="AC1453" s="17"/>
    </row>
    <row r="1454" spans="28:29">
      <c r="AB1454" s="17"/>
      <c r="AC1454" s="17"/>
    </row>
    <row r="1455" spans="28:29">
      <c r="AB1455" s="17"/>
      <c r="AC1455" s="17"/>
    </row>
    <row r="1456" spans="28:29">
      <c r="AB1456" s="17"/>
      <c r="AC1456" s="17"/>
    </row>
    <row r="1457" spans="28:29">
      <c r="AB1457" s="17"/>
      <c r="AC1457" s="17"/>
    </row>
    <row r="1458" spans="28:29">
      <c r="AB1458" s="17"/>
      <c r="AC1458" s="17"/>
    </row>
    <row r="1459" spans="28:29">
      <c r="AB1459" s="17"/>
      <c r="AC1459" s="17"/>
    </row>
    <row r="1460" spans="28:29">
      <c r="AB1460" s="17"/>
      <c r="AC1460" s="17"/>
    </row>
    <row r="1461" spans="28:29">
      <c r="AB1461" s="17"/>
      <c r="AC1461" s="17"/>
    </row>
    <row r="1462" spans="28:29">
      <c r="AB1462" s="17"/>
      <c r="AC1462" s="17"/>
    </row>
    <row r="1463" spans="28:29">
      <c r="AB1463" s="17"/>
      <c r="AC1463" s="17"/>
    </row>
    <row r="1464" spans="28:29">
      <c r="AB1464" s="17"/>
      <c r="AC1464" s="17"/>
    </row>
    <row r="1465" spans="28:29">
      <c r="AB1465" s="17"/>
      <c r="AC1465" s="17"/>
    </row>
    <row r="1466" spans="28:29">
      <c r="AB1466" s="17"/>
      <c r="AC1466" s="17"/>
    </row>
    <row r="1467" spans="28:29">
      <c r="AB1467" s="17"/>
      <c r="AC1467" s="17"/>
    </row>
    <row r="1468" spans="28:29">
      <c r="AB1468" s="17"/>
      <c r="AC1468" s="17"/>
    </row>
    <row r="1469" spans="28:29">
      <c r="AB1469" s="17"/>
      <c r="AC1469" s="17"/>
    </row>
    <row r="1470" spans="28:29">
      <c r="AB1470" s="17"/>
      <c r="AC1470" s="17"/>
    </row>
    <row r="1471" spans="28:29">
      <c r="AB1471" s="17"/>
      <c r="AC1471" s="17"/>
    </row>
    <row r="1472" spans="28:29">
      <c r="AB1472" s="17"/>
      <c r="AC1472" s="17"/>
    </row>
    <row r="1473" spans="28:29">
      <c r="AB1473" s="17"/>
      <c r="AC1473" s="17"/>
    </row>
    <row r="1474" spans="28:29">
      <c r="AB1474" s="17"/>
      <c r="AC1474" s="17"/>
    </row>
    <row r="1475" spans="28:29">
      <c r="AB1475" s="17"/>
      <c r="AC1475" s="17"/>
    </row>
    <row r="1476" spans="28:29">
      <c r="AB1476" s="17"/>
      <c r="AC1476" s="17"/>
    </row>
    <row r="1477" spans="28:29">
      <c r="AB1477" s="17"/>
      <c r="AC1477" s="17"/>
    </row>
    <row r="1478" spans="28:29">
      <c r="AB1478" s="17"/>
      <c r="AC1478" s="17"/>
    </row>
    <row r="1479" spans="28:29">
      <c r="AB1479" s="17"/>
      <c r="AC1479" s="17"/>
    </row>
    <row r="1480" spans="28:29">
      <c r="AB1480" s="17"/>
      <c r="AC1480" s="17"/>
    </row>
    <row r="1481" spans="28:29">
      <c r="AB1481" s="17"/>
      <c r="AC1481" s="17"/>
    </row>
    <row r="1482" spans="28:29">
      <c r="AB1482" s="17"/>
      <c r="AC1482" s="17"/>
    </row>
    <row r="1483" spans="28:29">
      <c r="AB1483" s="17"/>
      <c r="AC1483" s="17"/>
    </row>
    <row r="1484" spans="28:29">
      <c r="AB1484" s="17"/>
      <c r="AC1484" s="17"/>
    </row>
    <row r="1485" spans="28:29">
      <c r="AB1485" s="17"/>
      <c r="AC1485" s="17"/>
    </row>
    <row r="1486" spans="28:29">
      <c r="AB1486" s="17"/>
      <c r="AC1486" s="17"/>
    </row>
    <row r="1487" spans="28:29">
      <c r="AB1487" s="17"/>
      <c r="AC1487" s="17"/>
    </row>
    <row r="1488" spans="28:29">
      <c r="AB1488" s="17"/>
      <c r="AC1488" s="17"/>
    </row>
    <row r="1489" spans="28:29">
      <c r="AB1489" s="17"/>
      <c r="AC1489" s="17"/>
    </row>
    <row r="1490" spans="28:29">
      <c r="AB1490" s="17"/>
      <c r="AC1490" s="17"/>
    </row>
    <row r="1491" spans="28:29">
      <c r="AB1491" s="17"/>
      <c r="AC1491" s="17"/>
    </row>
    <row r="1492" spans="28:29">
      <c r="AB1492" s="17"/>
      <c r="AC1492" s="17"/>
    </row>
    <row r="1493" spans="28:29">
      <c r="AB1493" s="17"/>
      <c r="AC1493" s="17"/>
    </row>
    <row r="1494" spans="28:29">
      <c r="AB1494" s="17"/>
      <c r="AC1494" s="17"/>
    </row>
    <row r="1495" spans="28:29">
      <c r="AB1495" s="17"/>
      <c r="AC1495" s="17"/>
    </row>
    <row r="1496" spans="28:29">
      <c r="AB1496" s="17"/>
      <c r="AC1496" s="17"/>
    </row>
    <row r="1497" spans="28:29">
      <c r="AB1497" s="17"/>
      <c r="AC1497" s="17"/>
    </row>
    <row r="1498" spans="28:29">
      <c r="AB1498" s="17"/>
      <c r="AC1498" s="17"/>
    </row>
    <row r="1499" spans="28:29">
      <c r="AB1499" s="17"/>
      <c r="AC1499" s="17"/>
    </row>
    <row r="1500" spans="28:29">
      <c r="AB1500" s="17"/>
      <c r="AC1500" s="17"/>
    </row>
    <row r="1501" spans="28:29">
      <c r="AB1501" s="17"/>
      <c r="AC1501" s="17"/>
    </row>
    <row r="1502" spans="28:29">
      <c r="AB1502" s="17"/>
      <c r="AC1502" s="17"/>
    </row>
    <row r="1503" spans="28:29">
      <c r="AB1503" s="17"/>
      <c r="AC1503" s="17"/>
    </row>
    <row r="1504" spans="28:29">
      <c r="AB1504" s="17"/>
      <c r="AC1504" s="17"/>
    </row>
    <row r="1505" spans="28:29">
      <c r="AB1505" s="17"/>
      <c r="AC1505" s="17"/>
    </row>
    <row r="1506" spans="28:29">
      <c r="AB1506" s="17"/>
      <c r="AC1506" s="17"/>
    </row>
    <row r="1507" spans="28:29">
      <c r="AB1507" s="17"/>
      <c r="AC1507" s="17"/>
    </row>
    <row r="1508" spans="28:29">
      <c r="AB1508" s="17"/>
      <c r="AC1508" s="17"/>
    </row>
    <row r="1509" spans="28:29">
      <c r="AB1509" s="17"/>
      <c r="AC1509" s="17"/>
    </row>
    <row r="1510" spans="28:29">
      <c r="AB1510" s="17"/>
      <c r="AC1510" s="17"/>
    </row>
    <row r="1511" spans="28:29">
      <c r="AB1511" s="17"/>
      <c r="AC1511" s="17"/>
    </row>
    <row r="1512" spans="28:29">
      <c r="AB1512" s="17"/>
      <c r="AC1512" s="17"/>
    </row>
    <row r="1513" spans="28:29">
      <c r="AB1513" s="17"/>
      <c r="AC1513" s="17"/>
    </row>
    <row r="1514" spans="28:29">
      <c r="AB1514" s="17"/>
      <c r="AC1514" s="17"/>
    </row>
    <row r="1515" spans="28:29">
      <c r="AB1515" s="17"/>
      <c r="AC1515" s="17"/>
    </row>
    <row r="1516" spans="28:29">
      <c r="AB1516" s="17"/>
      <c r="AC1516" s="17"/>
    </row>
    <row r="1517" spans="28:29">
      <c r="AB1517" s="17"/>
      <c r="AC1517" s="17"/>
    </row>
    <row r="1518" spans="28:29">
      <c r="AB1518" s="17"/>
      <c r="AC1518" s="17"/>
    </row>
    <row r="1519" spans="28:29">
      <c r="AB1519" s="17"/>
      <c r="AC1519" s="17"/>
    </row>
    <row r="1520" spans="28:29">
      <c r="AB1520" s="17"/>
      <c r="AC1520" s="17"/>
    </row>
    <row r="1521" spans="28:29">
      <c r="AB1521" s="17"/>
      <c r="AC1521" s="17"/>
    </row>
    <row r="1522" spans="28:29">
      <c r="AB1522" s="17"/>
      <c r="AC1522" s="17"/>
    </row>
    <row r="1523" spans="28:29">
      <c r="AB1523" s="17"/>
      <c r="AC1523" s="17"/>
    </row>
    <row r="1524" spans="28:29">
      <c r="AB1524" s="17"/>
      <c r="AC1524" s="17"/>
    </row>
    <row r="1525" spans="28:29">
      <c r="AB1525" s="17"/>
      <c r="AC1525" s="17"/>
    </row>
    <row r="1526" spans="28:29">
      <c r="AB1526" s="17"/>
      <c r="AC1526" s="17"/>
    </row>
    <row r="1527" spans="28:29">
      <c r="AB1527" s="17"/>
      <c r="AC1527" s="17"/>
    </row>
    <row r="1528" spans="28:29">
      <c r="AB1528" s="17"/>
      <c r="AC1528" s="17"/>
    </row>
    <row r="1529" spans="28:29">
      <c r="AB1529" s="17"/>
      <c r="AC1529" s="17"/>
    </row>
    <row r="1530" spans="28:29">
      <c r="AB1530" s="17"/>
      <c r="AC1530" s="17"/>
    </row>
    <row r="1531" spans="28:29">
      <c r="AB1531" s="17"/>
      <c r="AC1531" s="17"/>
    </row>
    <row r="1532" spans="28:29">
      <c r="AB1532" s="17"/>
      <c r="AC1532" s="17"/>
    </row>
    <row r="1533" spans="28:29">
      <c r="AB1533" s="17"/>
      <c r="AC1533" s="17"/>
    </row>
    <row r="1534" spans="28:29">
      <c r="AB1534" s="17"/>
      <c r="AC1534" s="17"/>
    </row>
    <row r="1535" spans="28:29">
      <c r="AB1535" s="17"/>
      <c r="AC1535" s="17"/>
    </row>
    <row r="1536" spans="28:29">
      <c r="AB1536" s="17"/>
      <c r="AC1536" s="17"/>
    </row>
    <row r="1537" spans="28:29">
      <c r="AB1537" s="17"/>
      <c r="AC1537" s="17"/>
    </row>
    <row r="1538" spans="28:29">
      <c r="AB1538" s="17"/>
      <c r="AC1538" s="17"/>
    </row>
    <row r="1539" spans="28:29">
      <c r="AB1539" s="17"/>
      <c r="AC1539" s="17"/>
    </row>
    <row r="1540" spans="28:29">
      <c r="AB1540" s="17"/>
      <c r="AC1540" s="17"/>
    </row>
    <row r="1541" spans="28:29">
      <c r="AB1541" s="17"/>
      <c r="AC1541" s="17"/>
    </row>
    <row r="1542" spans="28:29">
      <c r="AB1542" s="17"/>
      <c r="AC1542" s="17"/>
    </row>
    <row r="1543" spans="28:29">
      <c r="AB1543" s="17"/>
      <c r="AC1543" s="17"/>
    </row>
    <row r="1544" spans="28:29">
      <c r="AB1544" s="17"/>
      <c r="AC1544" s="17"/>
    </row>
    <row r="1545" spans="28:29">
      <c r="AB1545" s="17"/>
      <c r="AC1545" s="17"/>
    </row>
    <row r="1546" spans="28:29">
      <c r="AB1546" s="17"/>
      <c r="AC1546" s="17"/>
    </row>
    <row r="1547" spans="28:29">
      <c r="AB1547" s="17"/>
      <c r="AC1547" s="17"/>
    </row>
    <row r="1548" spans="28:29">
      <c r="AB1548" s="17"/>
      <c r="AC1548" s="17"/>
    </row>
    <row r="1549" spans="28:29">
      <c r="AB1549" s="17"/>
      <c r="AC1549" s="17"/>
    </row>
    <row r="1550" spans="28:29">
      <c r="AB1550" s="17"/>
      <c r="AC1550" s="17"/>
    </row>
    <row r="1551" spans="28:29">
      <c r="AB1551" s="17"/>
      <c r="AC1551" s="17"/>
    </row>
    <row r="1552" spans="28:29">
      <c r="AB1552" s="17"/>
      <c r="AC1552" s="17"/>
    </row>
    <row r="1553" spans="28:29">
      <c r="AB1553" s="17"/>
      <c r="AC1553" s="17"/>
    </row>
    <row r="1554" spans="28:29">
      <c r="AB1554" s="17"/>
      <c r="AC1554" s="17"/>
    </row>
    <row r="1555" spans="28:29">
      <c r="AB1555" s="17"/>
      <c r="AC1555" s="17"/>
    </row>
    <row r="1556" spans="28:29">
      <c r="AB1556" s="17"/>
      <c r="AC1556" s="17"/>
    </row>
    <row r="1557" spans="28:29">
      <c r="AB1557" s="17"/>
      <c r="AC1557" s="17"/>
    </row>
    <row r="1558" spans="28:29">
      <c r="AB1558" s="17"/>
      <c r="AC1558" s="17"/>
    </row>
    <row r="1559" spans="28:29">
      <c r="AB1559" s="17"/>
      <c r="AC1559" s="17"/>
    </row>
    <row r="1560" spans="28:29">
      <c r="AB1560" s="17"/>
      <c r="AC1560" s="17"/>
    </row>
    <row r="1561" spans="28:29">
      <c r="AB1561" s="17"/>
      <c r="AC1561" s="17"/>
    </row>
    <row r="1562" spans="28:29">
      <c r="AB1562" s="17"/>
      <c r="AC1562" s="17"/>
    </row>
    <row r="1563" spans="28:29">
      <c r="AB1563" s="17"/>
      <c r="AC1563" s="17"/>
    </row>
    <row r="1564" spans="28:29">
      <c r="AB1564" s="17"/>
      <c r="AC1564" s="17"/>
    </row>
    <row r="1565" spans="28:29">
      <c r="AB1565" s="17"/>
      <c r="AC1565" s="17"/>
    </row>
    <row r="1566" spans="28:29">
      <c r="AB1566" s="17"/>
      <c r="AC1566" s="17"/>
    </row>
    <row r="1567" spans="28:29">
      <c r="AB1567" s="17"/>
      <c r="AC1567" s="17"/>
    </row>
    <row r="1568" spans="28:29">
      <c r="AB1568" s="17"/>
      <c r="AC1568" s="17"/>
    </row>
    <row r="1569" spans="28:29">
      <c r="AB1569" s="17"/>
      <c r="AC1569" s="17"/>
    </row>
    <row r="1570" spans="28:29">
      <c r="AB1570" s="17"/>
      <c r="AC1570" s="17"/>
    </row>
    <row r="1571" spans="28:29">
      <c r="AB1571" s="17"/>
      <c r="AC1571" s="17"/>
    </row>
    <row r="1572" spans="28:29">
      <c r="AB1572" s="17"/>
      <c r="AC1572" s="17"/>
    </row>
    <row r="1573" spans="28:29">
      <c r="AB1573" s="17"/>
      <c r="AC1573" s="17"/>
    </row>
    <row r="1574" spans="28:29">
      <c r="AB1574" s="17"/>
      <c r="AC1574" s="17"/>
    </row>
    <row r="1575" spans="28:29">
      <c r="AB1575" s="17"/>
      <c r="AC1575" s="17"/>
    </row>
    <row r="1576" spans="28:29">
      <c r="AB1576" s="17"/>
      <c r="AC1576" s="17"/>
    </row>
    <row r="1577" spans="28:29">
      <c r="AB1577" s="17"/>
      <c r="AC1577" s="17"/>
    </row>
    <row r="1578" spans="28:29">
      <c r="AB1578" s="17"/>
      <c r="AC1578" s="17"/>
    </row>
    <row r="1579" spans="28:29">
      <c r="AB1579" s="17"/>
      <c r="AC1579" s="17"/>
    </row>
    <row r="1580" spans="28:29">
      <c r="AB1580" s="17"/>
      <c r="AC1580" s="17"/>
    </row>
    <row r="1581" spans="28:29">
      <c r="AB1581" s="17"/>
      <c r="AC1581" s="17"/>
    </row>
    <row r="1582" spans="28:29">
      <c r="AB1582" s="17"/>
      <c r="AC1582" s="17"/>
    </row>
    <row r="1583" spans="28:29">
      <c r="AB1583" s="17"/>
      <c r="AC1583" s="17"/>
    </row>
    <row r="1584" spans="28:29">
      <c r="AB1584" s="17"/>
      <c r="AC1584" s="17"/>
    </row>
    <row r="1585" spans="28:29">
      <c r="AB1585" s="17"/>
      <c r="AC1585" s="17"/>
    </row>
    <row r="1586" spans="28:29">
      <c r="AB1586" s="17"/>
      <c r="AC1586" s="17"/>
    </row>
    <row r="1587" spans="28:29">
      <c r="AB1587" s="17"/>
      <c r="AC1587" s="17"/>
    </row>
    <row r="1588" spans="28:29">
      <c r="AB1588" s="17"/>
      <c r="AC1588" s="17"/>
    </row>
    <row r="1589" spans="28:29">
      <c r="AB1589" s="17"/>
      <c r="AC1589" s="17"/>
    </row>
    <row r="1590" spans="28:29">
      <c r="AB1590" s="17"/>
      <c r="AC1590" s="17"/>
    </row>
    <row r="1591" spans="28:29">
      <c r="AB1591" s="17"/>
      <c r="AC1591" s="17"/>
    </row>
    <row r="1592" spans="28:29">
      <c r="AB1592" s="17"/>
      <c r="AC1592" s="17"/>
    </row>
    <row r="1593" spans="28:29">
      <c r="AB1593" s="17"/>
      <c r="AC1593" s="17"/>
    </row>
    <row r="1594" spans="28:29">
      <c r="AB1594" s="17"/>
      <c r="AC1594" s="17"/>
    </row>
    <row r="1595" spans="28:29">
      <c r="AB1595" s="17"/>
      <c r="AC1595" s="17"/>
    </row>
    <row r="1596" spans="28:29">
      <c r="AB1596" s="17"/>
      <c r="AC1596" s="17"/>
    </row>
    <row r="1597" spans="28:29">
      <c r="AB1597" s="17"/>
      <c r="AC1597" s="17"/>
    </row>
    <row r="1598" spans="28:29">
      <c r="AB1598" s="17"/>
      <c r="AC1598" s="17"/>
    </row>
    <row r="1599" spans="28:29">
      <c r="AB1599" s="17"/>
      <c r="AC1599" s="17"/>
    </row>
    <row r="1600" spans="28:29">
      <c r="AB1600" s="17"/>
      <c r="AC1600" s="17"/>
    </row>
    <row r="1601" spans="28:29">
      <c r="AB1601" s="17"/>
      <c r="AC1601" s="17"/>
    </row>
    <row r="1602" spans="28:29">
      <c r="AB1602" s="17"/>
      <c r="AC1602" s="17"/>
    </row>
    <row r="1603" spans="28:29">
      <c r="AB1603" s="17"/>
      <c r="AC1603" s="17"/>
    </row>
    <row r="1604" spans="28:29">
      <c r="AB1604" s="17"/>
      <c r="AC1604" s="17"/>
    </row>
    <row r="1605" spans="28:29">
      <c r="AB1605" s="17"/>
      <c r="AC1605" s="17"/>
    </row>
    <row r="1606" spans="28:29">
      <c r="AB1606" s="17"/>
      <c r="AC1606" s="17"/>
    </row>
    <row r="1607" spans="28:29">
      <c r="AB1607" s="17"/>
      <c r="AC1607" s="17"/>
    </row>
    <row r="1608" spans="28:29">
      <c r="AB1608" s="17"/>
      <c r="AC1608" s="17"/>
    </row>
    <row r="1609" spans="28:29">
      <c r="AB1609" s="17"/>
      <c r="AC1609" s="17"/>
    </row>
    <row r="1610" spans="28:29">
      <c r="AB1610" s="17"/>
      <c r="AC1610" s="17"/>
    </row>
    <row r="1611" spans="28:29">
      <c r="AB1611" s="17"/>
      <c r="AC1611" s="17"/>
    </row>
    <row r="1612" spans="28:29">
      <c r="AB1612" s="17"/>
      <c r="AC1612" s="17"/>
    </row>
    <row r="1613" spans="28:29">
      <c r="AB1613" s="17"/>
      <c r="AC1613" s="17"/>
    </row>
    <row r="1614" spans="28:29">
      <c r="AB1614" s="17"/>
      <c r="AC1614" s="17"/>
    </row>
    <row r="1615" spans="28:29">
      <c r="AB1615" s="17"/>
      <c r="AC1615" s="17"/>
    </row>
    <row r="1616" spans="28:29">
      <c r="AB1616" s="17"/>
      <c r="AC1616" s="17"/>
    </row>
    <row r="1617" spans="28:29">
      <c r="AB1617" s="17"/>
      <c r="AC1617" s="17"/>
    </row>
    <row r="1618" spans="28:29">
      <c r="AB1618" s="17"/>
      <c r="AC1618" s="17"/>
    </row>
    <row r="1619" spans="28:29">
      <c r="AB1619" s="17"/>
      <c r="AC1619" s="17"/>
    </row>
    <row r="1620" spans="28:29">
      <c r="AB1620" s="17"/>
      <c r="AC1620" s="17"/>
    </row>
    <row r="1621" spans="28:29">
      <c r="AB1621" s="17"/>
      <c r="AC1621" s="17"/>
    </row>
    <row r="1622" spans="28:29">
      <c r="AB1622" s="17"/>
      <c r="AC1622" s="17"/>
    </row>
    <row r="1623" spans="28:29">
      <c r="AB1623" s="17"/>
      <c r="AC1623" s="17"/>
    </row>
    <row r="1624" spans="28:29">
      <c r="AB1624" s="17"/>
      <c r="AC1624" s="17"/>
    </row>
    <row r="1625" spans="28:29">
      <c r="AB1625" s="17"/>
      <c r="AC1625" s="17"/>
    </row>
    <row r="1626" spans="28:29">
      <c r="AB1626" s="17"/>
      <c r="AC1626" s="17"/>
    </row>
    <row r="1627" spans="28:29">
      <c r="AB1627" s="17"/>
      <c r="AC1627" s="17"/>
    </row>
    <row r="1628" spans="28:29">
      <c r="AB1628" s="17"/>
      <c r="AC1628" s="17"/>
    </row>
    <row r="1629" spans="28:29">
      <c r="AB1629" s="17"/>
      <c r="AC1629" s="17"/>
    </row>
    <row r="1630" spans="28:29">
      <c r="AB1630" s="17"/>
      <c r="AC1630" s="17"/>
    </row>
    <row r="1631" spans="28:29">
      <c r="AB1631" s="17"/>
      <c r="AC1631" s="17"/>
    </row>
    <row r="1632" spans="28:29">
      <c r="AB1632" s="17"/>
      <c r="AC1632" s="17"/>
    </row>
    <row r="1633" spans="28:29">
      <c r="AB1633" s="17"/>
      <c r="AC1633" s="17"/>
    </row>
    <row r="1634" spans="28:29">
      <c r="AB1634" s="17"/>
      <c r="AC1634" s="17"/>
    </row>
    <row r="1635" spans="28:29">
      <c r="AB1635" s="17"/>
      <c r="AC1635" s="17"/>
    </row>
    <row r="1636" spans="28:29">
      <c r="AB1636" s="17"/>
      <c r="AC1636" s="17"/>
    </row>
    <row r="1637" spans="28:29">
      <c r="AB1637" s="17"/>
      <c r="AC1637" s="17"/>
    </row>
    <row r="1638" spans="28:29">
      <c r="AB1638" s="17"/>
      <c r="AC1638" s="17"/>
    </row>
    <row r="1639" spans="28:29">
      <c r="AB1639" s="17"/>
      <c r="AC1639" s="17"/>
    </row>
    <row r="1640" spans="28:29">
      <c r="AB1640" s="17"/>
      <c r="AC1640" s="17"/>
    </row>
    <row r="1641" spans="28:29">
      <c r="AB1641" s="17"/>
      <c r="AC1641" s="17"/>
    </row>
    <row r="1642" spans="28:29">
      <c r="AB1642" s="17"/>
      <c r="AC1642" s="17"/>
    </row>
    <row r="1643" spans="28:29">
      <c r="AB1643" s="17"/>
      <c r="AC1643" s="17"/>
    </row>
    <row r="1644" spans="28:29">
      <c r="AB1644" s="17"/>
      <c r="AC1644" s="17"/>
    </row>
    <row r="1645" spans="28:29">
      <c r="AB1645" s="17"/>
      <c r="AC1645" s="17"/>
    </row>
    <row r="1646" spans="28:29">
      <c r="AB1646" s="17"/>
      <c r="AC1646" s="17"/>
    </row>
    <row r="1647" spans="28:29">
      <c r="AB1647" s="17"/>
      <c r="AC1647" s="17"/>
    </row>
    <row r="1648" spans="28:29">
      <c r="AB1648" s="17"/>
      <c r="AC1648" s="17"/>
    </row>
    <row r="1649" spans="28:29">
      <c r="AB1649" s="17"/>
      <c r="AC1649" s="17"/>
    </row>
    <row r="1650" spans="28:29">
      <c r="AB1650" s="17"/>
      <c r="AC1650" s="17"/>
    </row>
    <row r="1651" spans="28:29">
      <c r="AB1651" s="17"/>
      <c r="AC1651" s="17"/>
    </row>
    <row r="1652" spans="28:29">
      <c r="AB1652" s="17"/>
      <c r="AC1652" s="17"/>
    </row>
    <row r="1653" spans="28:29">
      <c r="AB1653" s="17"/>
      <c r="AC1653" s="17"/>
    </row>
    <row r="1654" spans="28:29">
      <c r="AB1654" s="17"/>
      <c r="AC1654" s="17"/>
    </row>
    <row r="1655" spans="28:29">
      <c r="AB1655" s="17"/>
      <c r="AC1655" s="17"/>
    </row>
    <row r="1656" spans="28:29">
      <c r="AB1656" s="17"/>
      <c r="AC1656" s="17"/>
    </row>
    <row r="1657" spans="28:29">
      <c r="AB1657" s="17"/>
      <c r="AC1657" s="17"/>
    </row>
    <row r="1658" spans="28:29">
      <c r="AB1658" s="17"/>
      <c r="AC1658" s="17"/>
    </row>
    <row r="1659" spans="28:29">
      <c r="AB1659" s="17"/>
      <c r="AC1659" s="17"/>
    </row>
    <row r="1660" spans="28:29">
      <c r="AB1660" s="17"/>
      <c r="AC1660" s="17"/>
    </row>
    <row r="1661" spans="28:29">
      <c r="AB1661" s="17"/>
      <c r="AC1661" s="17"/>
    </row>
    <row r="1662" spans="28:29">
      <c r="AB1662" s="17"/>
      <c r="AC1662" s="17"/>
    </row>
    <row r="1663" spans="28:29">
      <c r="AB1663" s="17"/>
      <c r="AC1663" s="17"/>
    </row>
    <row r="1664" spans="28:29">
      <c r="AB1664" s="17"/>
      <c r="AC1664" s="17"/>
    </row>
    <row r="1665" spans="28:29">
      <c r="AB1665" s="17"/>
      <c r="AC1665" s="17"/>
    </row>
    <row r="1666" spans="28:29">
      <c r="AB1666" s="17"/>
      <c r="AC1666" s="17"/>
    </row>
    <row r="1667" spans="28:29">
      <c r="AB1667" s="17"/>
      <c r="AC1667" s="17"/>
    </row>
    <row r="1668" spans="28:29">
      <c r="AB1668" s="17"/>
      <c r="AC1668" s="17"/>
    </row>
    <row r="1669" spans="28:29">
      <c r="AB1669" s="17"/>
      <c r="AC1669" s="17"/>
    </row>
    <row r="1670" spans="28:29">
      <c r="AB1670" s="17"/>
      <c r="AC1670" s="17"/>
    </row>
    <row r="1671" spans="28:29">
      <c r="AB1671" s="17"/>
      <c r="AC1671" s="17"/>
    </row>
    <row r="1672" spans="28:29">
      <c r="AB1672" s="17"/>
      <c r="AC1672" s="17"/>
    </row>
    <row r="1673" spans="28:29">
      <c r="AB1673" s="17"/>
      <c r="AC1673" s="17"/>
    </row>
    <row r="1674" spans="28:29">
      <c r="AB1674" s="17"/>
      <c r="AC1674" s="17"/>
    </row>
    <row r="1675" spans="28:29">
      <c r="AB1675" s="17"/>
      <c r="AC1675" s="17"/>
    </row>
    <row r="1676" spans="28:29">
      <c r="AB1676" s="17"/>
      <c r="AC1676" s="17"/>
    </row>
    <row r="1677" spans="28:29">
      <c r="AB1677" s="17"/>
      <c r="AC1677" s="17"/>
    </row>
    <row r="1678" spans="28:29">
      <c r="AB1678" s="17"/>
      <c r="AC1678" s="17"/>
    </row>
    <row r="1679" spans="28:29">
      <c r="AB1679" s="17"/>
      <c r="AC1679" s="17"/>
    </row>
    <row r="1680" spans="28:29">
      <c r="AB1680" s="17"/>
      <c r="AC1680" s="17"/>
    </row>
    <row r="1681" spans="28:29">
      <c r="AB1681" s="17"/>
      <c r="AC1681" s="17"/>
    </row>
    <row r="1682" spans="28:29">
      <c r="AB1682" s="17"/>
      <c r="AC1682" s="17"/>
    </row>
    <row r="1683" spans="28:29">
      <c r="AB1683" s="17"/>
      <c r="AC1683" s="17"/>
    </row>
    <row r="1684" spans="28:29">
      <c r="AB1684" s="17"/>
      <c r="AC1684" s="17"/>
    </row>
    <row r="1685" spans="28:29">
      <c r="AB1685" s="17"/>
      <c r="AC1685" s="17"/>
    </row>
    <row r="1686" spans="28:29">
      <c r="AB1686" s="17"/>
      <c r="AC1686" s="17"/>
    </row>
    <row r="1687" spans="28:29">
      <c r="AB1687" s="17"/>
      <c r="AC1687" s="17"/>
    </row>
    <row r="1688" spans="28:29">
      <c r="AB1688" s="17"/>
      <c r="AC1688" s="17"/>
    </row>
    <row r="1689" spans="28:29">
      <c r="AB1689" s="17"/>
      <c r="AC1689" s="17"/>
    </row>
    <row r="1690" spans="28:29">
      <c r="AB1690" s="17"/>
      <c r="AC1690" s="17"/>
    </row>
    <row r="1691" spans="28:29">
      <c r="AB1691" s="17"/>
      <c r="AC1691" s="17"/>
    </row>
    <row r="1692" spans="28:29">
      <c r="AB1692" s="17"/>
      <c r="AC1692" s="17"/>
    </row>
    <row r="1693" spans="28:29">
      <c r="AB1693" s="17"/>
      <c r="AC1693" s="17"/>
    </row>
    <row r="1694" spans="28:29">
      <c r="AB1694" s="17"/>
      <c r="AC1694" s="17"/>
    </row>
    <row r="1695" spans="28:29">
      <c r="AB1695" s="17"/>
      <c r="AC1695" s="17"/>
    </row>
    <row r="1696" spans="28:29">
      <c r="AB1696" s="17"/>
      <c r="AC1696" s="17"/>
    </row>
    <row r="1697" spans="28:29">
      <c r="AB1697" s="17"/>
      <c r="AC1697" s="17"/>
    </row>
    <row r="1698" spans="28:29">
      <c r="AB1698" s="17"/>
      <c r="AC1698" s="17"/>
    </row>
    <row r="1699" spans="28:29">
      <c r="AB1699" s="17"/>
      <c r="AC1699" s="17"/>
    </row>
    <row r="1700" spans="28:29">
      <c r="AB1700" s="17"/>
      <c r="AC1700" s="17"/>
    </row>
    <row r="1701" spans="28:29">
      <c r="AB1701" s="17"/>
      <c r="AC1701" s="17"/>
    </row>
    <row r="1702" spans="28:29">
      <c r="AB1702" s="17"/>
      <c r="AC1702" s="17"/>
    </row>
    <row r="1703" spans="28:29">
      <c r="AB1703" s="17"/>
      <c r="AC1703" s="17"/>
    </row>
    <row r="1704" spans="28:29">
      <c r="AB1704" s="17"/>
      <c r="AC1704" s="17"/>
    </row>
    <row r="1705" spans="28:29">
      <c r="AB1705" s="17"/>
      <c r="AC1705" s="17"/>
    </row>
    <row r="1706" spans="28:29">
      <c r="AB1706" s="17"/>
      <c r="AC1706" s="17"/>
    </row>
    <row r="1707" spans="28:29">
      <c r="AB1707" s="17"/>
      <c r="AC1707" s="17"/>
    </row>
    <row r="1708" spans="28:29">
      <c r="AB1708" s="17"/>
      <c r="AC1708" s="17"/>
    </row>
    <row r="1709" spans="28:29">
      <c r="AB1709" s="17"/>
      <c r="AC1709" s="17"/>
    </row>
    <row r="1710" spans="28:29">
      <c r="AB1710" s="17"/>
      <c r="AC1710" s="17"/>
    </row>
    <row r="1711" spans="28:29">
      <c r="AB1711" s="17"/>
      <c r="AC1711" s="17"/>
    </row>
    <row r="1712" spans="28:29">
      <c r="AB1712" s="17"/>
      <c r="AC1712" s="17"/>
    </row>
    <row r="1713" spans="28:29">
      <c r="AB1713" s="17"/>
      <c r="AC1713" s="17"/>
    </row>
    <row r="1714" spans="28:29">
      <c r="AB1714" s="17"/>
      <c r="AC1714" s="17"/>
    </row>
    <row r="1715" spans="28:29">
      <c r="AB1715" s="17"/>
      <c r="AC1715" s="17"/>
    </row>
    <row r="1716" spans="28:29">
      <c r="AB1716" s="17"/>
      <c r="AC1716" s="17"/>
    </row>
    <row r="1717" spans="28:29">
      <c r="AB1717" s="17"/>
      <c r="AC1717" s="17"/>
    </row>
    <row r="1718" spans="28:29">
      <c r="AB1718" s="17"/>
      <c r="AC1718" s="17"/>
    </row>
    <row r="1719" spans="28:29">
      <c r="AB1719" s="17"/>
      <c r="AC1719" s="17"/>
    </row>
    <row r="1720" spans="28:29">
      <c r="AB1720" s="17"/>
      <c r="AC1720" s="17"/>
    </row>
    <row r="1721" spans="28:29">
      <c r="AB1721" s="17"/>
      <c r="AC1721" s="17"/>
    </row>
    <row r="1722" spans="28:29">
      <c r="AB1722" s="17"/>
      <c r="AC1722" s="17"/>
    </row>
    <row r="1723" spans="28:29">
      <c r="AB1723" s="17"/>
      <c r="AC1723" s="17"/>
    </row>
    <row r="1724" spans="28:29">
      <c r="AB1724" s="17"/>
      <c r="AC1724" s="17"/>
    </row>
    <row r="1725" spans="28:29">
      <c r="AB1725" s="17"/>
      <c r="AC1725" s="17"/>
    </row>
    <row r="1726" spans="28:29">
      <c r="AB1726" s="17"/>
      <c r="AC1726" s="17"/>
    </row>
    <row r="1727" spans="28:29">
      <c r="AB1727" s="17"/>
      <c r="AC1727" s="17"/>
    </row>
    <row r="1728" spans="28:29">
      <c r="AB1728" s="17"/>
      <c r="AC1728" s="17"/>
    </row>
    <row r="1729" spans="28:29">
      <c r="AB1729" s="17"/>
      <c r="AC1729" s="17"/>
    </row>
    <row r="1730" spans="28:29">
      <c r="AB1730" s="17"/>
      <c r="AC1730" s="17"/>
    </row>
    <row r="1731" spans="28:29">
      <c r="AB1731" s="17"/>
      <c r="AC1731" s="17"/>
    </row>
    <row r="1732" spans="28:29">
      <c r="AB1732" s="17"/>
      <c r="AC1732" s="17"/>
    </row>
    <row r="1733" spans="28:29">
      <c r="AB1733" s="17"/>
      <c r="AC1733" s="17"/>
    </row>
    <row r="1734" spans="28:29">
      <c r="AB1734" s="17"/>
      <c r="AC1734" s="17"/>
    </row>
    <row r="1735" spans="28:29">
      <c r="AB1735" s="17"/>
      <c r="AC1735" s="17"/>
    </row>
    <row r="1736" spans="28:29">
      <c r="AB1736" s="17"/>
      <c r="AC1736" s="17"/>
    </row>
    <row r="1737" spans="28:29">
      <c r="AB1737" s="17"/>
      <c r="AC1737" s="17"/>
    </row>
    <row r="1738" spans="28:29">
      <c r="AB1738" s="17"/>
      <c r="AC1738" s="17"/>
    </row>
    <row r="1739" spans="28:29">
      <c r="AB1739" s="17"/>
      <c r="AC1739" s="17"/>
    </row>
    <row r="1740" spans="28:29">
      <c r="AB1740" s="17"/>
      <c r="AC1740" s="17"/>
    </row>
    <row r="1741" spans="28:29">
      <c r="AB1741" s="17"/>
      <c r="AC1741" s="17"/>
    </row>
    <row r="1742" spans="28:29">
      <c r="AB1742" s="17"/>
      <c r="AC1742" s="17"/>
    </row>
    <row r="1743" spans="28:29">
      <c r="AB1743" s="17"/>
      <c r="AC1743" s="17"/>
    </row>
    <row r="1744" spans="28:29">
      <c r="AB1744" s="17"/>
      <c r="AC1744" s="17"/>
    </row>
    <row r="1745" spans="28:29">
      <c r="AB1745" s="17"/>
      <c r="AC1745" s="17"/>
    </row>
    <row r="1746" spans="28:29">
      <c r="AB1746" s="17"/>
      <c r="AC1746" s="17"/>
    </row>
    <row r="1747" spans="28:29">
      <c r="AB1747" s="17"/>
      <c r="AC1747" s="17"/>
    </row>
    <row r="1748" spans="28:29">
      <c r="AB1748" s="17"/>
      <c r="AC1748" s="17"/>
    </row>
    <row r="1749" spans="28:29">
      <c r="AB1749" s="17"/>
      <c r="AC1749" s="17"/>
    </row>
    <row r="1750" spans="28:29">
      <c r="AB1750" s="17"/>
      <c r="AC1750" s="17"/>
    </row>
    <row r="1751" spans="28:29">
      <c r="AB1751" s="17"/>
      <c r="AC1751" s="17"/>
    </row>
    <row r="1752" spans="28:29">
      <c r="AB1752" s="17"/>
      <c r="AC1752" s="17"/>
    </row>
    <row r="1753" spans="28:29">
      <c r="AB1753" s="17"/>
      <c r="AC1753" s="17"/>
    </row>
    <row r="1754" spans="28:29">
      <c r="AB1754" s="17"/>
      <c r="AC1754" s="17"/>
    </row>
    <row r="1755" spans="28:29">
      <c r="AB1755" s="17"/>
      <c r="AC1755" s="17"/>
    </row>
    <row r="1756" spans="28:29">
      <c r="AB1756" s="17"/>
      <c r="AC1756" s="17"/>
    </row>
    <row r="1757" spans="28:29">
      <c r="AB1757" s="17"/>
      <c r="AC1757" s="17"/>
    </row>
    <row r="1758" spans="28:29">
      <c r="AB1758" s="17"/>
      <c r="AC1758" s="17"/>
    </row>
    <row r="1759" spans="28:29">
      <c r="AB1759" s="17"/>
      <c r="AC1759" s="17"/>
    </row>
    <row r="1760" spans="28:29">
      <c r="AB1760" s="17"/>
      <c r="AC1760" s="17"/>
    </row>
    <row r="1761" spans="28:29">
      <c r="AB1761" s="17"/>
      <c r="AC1761" s="17"/>
    </row>
    <row r="1762" spans="28:29">
      <c r="AB1762" s="17"/>
      <c r="AC1762" s="17"/>
    </row>
    <row r="1763" spans="28:29">
      <c r="AB1763" s="17"/>
      <c r="AC1763" s="17"/>
    </row>
    <row r="1764" spans="28:29">
      <c r="AB1764" s="17"/>
      <c r="AC1764" s="17"/>
    </row>
    <row r="1765" spans="28:29">
      <c r="AB1765" s="17"/>
      <c r="AC1765" s="17"/>
    </row>
    <row r="1766" spans="28:29">
      <c r="AB1766" s="17"/>
      <c r="AC1766" s="17"/>
    </row>
    <row r="1767" spans="28:29">
      <c r="AB1767" s="17"/>
      <c r="AC1767" s="17"/>
    </row>
    <row r="1768" spans="28:29">
      <c r="AB1768" s="17"/>
      <c r="AC1768" s="17"/>
    </row>
    <row r="1769" spans="28:29">
      <c r="AB1769" s="17"/>
      <c r="AC1769" s="17"/>
    </row>
    <row r="1770" spans="28:29">
      <c r="AB1770" s="17"/>
      <c r="AC1770" s="17"/>
    </row>
    <row r="1771" spans="28:29">
      <c r="AB1771" s="17"/>
      <c r="AC1771" s="17"/>
    </row>
    <row r="1772" spans="28:29">
      <c r="AB1772" s="17"/>
      <c r="AC1772" s="17"/>
    </row>
    <row r="1773" spans="28:29">
      <c r="AB1773" s="17"/>
      <c r="AC1773" s="17"/>
    </row>
    <row r="1774" spans="28:29">
      <c r="AB1774" s="17"/>
      <c r="AC1774" s="17"/>
    </row>
    <row r="1775" spans="28:29">
      <c r="AB1775" s="17"/>
      <c r="AC1775" s="17"/>
    </row>
    <row r="1776" spans="28:29">
      <c r="AB1776" s="17"/>
      <c r="AC1776" s="17"/>
    </row>
    <row r="1777" spans="28:29">
      <c r="AB1777" s="17"/>
      <c r="AC1777" s="17"/>
    </row>
    <row r="1778" spans="28:29">
      <c r="AB1778" s="17"/>
      <c r="AC1778" s="17"/>
    </row>
    <row r="1779" spans="28:29">
      <c r="AB1779" s="17"/>
      <c r="AC1779" s="17"/>
    </row>
    <row r="1780" spans="28:29">
      <c r="AB1780" s="17"/>
      <c r="AC1780" s="17"/>
    </row>
    <row r="1781" spans="28:29">
      <c r="AB1781" s="17"/>
      <c r="AC1781" s="17"/>
    </row>
    <row r="1782" spans="28:29">
      <c r="AB1782" s="17"/>
      <c r="AC1782" s="17"/>
    </row>
    <row r="1783" spans="28:29">
      <c r="AB1783" s="17"/>
      <c r="AC1783" s="17"/>
    </row>
    <row r="1784" spans="28:29">
      <c r="AB1784" s="17"/>
      <c r="AC1784" s="17"/>
    </row>
    <row r="1785" spans="28:29">
      <c r="AB1785" s="17"/>
      <c r="AC1785" s="17"/>
    </row>
    <row r="1786" spans="28:29">
      <c r="AB1786" s="17"/>
      <c r="AC1786" s="17"/>
    </row>
    <row r="1787" spans="28:29">
      <c r="AB1787" s="17"/>
      <c r="AC1787" s="17"/>
    </row>
    <row r="1788" spans="28:29">
      <c r="AB1788" s="17"/>
      <c r="AC1788" s="17"/>
    </row>
    <row r="1789" spans="28:29">
      <c r="AB1789" s="17"/>
      <c r="AC1789" s="17"/>
    </row>
    <row r="1790" spans="28:29">
      <c r="AB1790" s="17"/>
      <c r="AC1790" s="17"/>
    </row>
    <row r="1791" spans="28:29">
      <c r="AB1791" s="17"/>
      <c r="AC1791" s="17"/>
    </row>
    <row r="1792" spans="28:29">
      <c r="AB1792" s="17"/>
      <c r="AC1792" s="17"/>
    </row>
    <row r="1793" spans="28:29">
      <c r="AB1793" s="17"/>
      <c r="AC1793" s="17"/>
    </row>
    <row r="1794" spans="28:29">
      <c r="AB1794" s="17"/>
      <c r="AC1794" s="17"/>
    </row>
    <row r="1795" spans="28:29">
      <c r="AB1795" s="17"/>
      <c r="AC1795" s="17"/>
    </row>
    <row r="1796" spans="28:29">
      <c r="AB1796" s="17"/>
      <c r="AC1796" s="17"/>
    </row>
    <row r="1797" spans="28:29">
      <c r="AB1797" s="17"/>
      <c r="AC1797" s="17"/>
    </row>
    <row r="1798" spans="28:29">
      <c r="AB1798" s="17"/>
      <c r="AC1798" s="17"/>
    </row>
    <row r="1799" spans="28:29">
      <c r="AB1799" s="17"/>
      <c r="AC1799" s="17"/>
    </row>
    <row r="1800" spans="28:29">
      <c r="AB1800" s="17"/>
      <c r="AC1800" s="17"/>
    </row>
    <row r="1801" spans="28:29">
      <c r="AB1801" s="17"/>
      <c r="AC1801" s="17"/>
    </row>
    <row r="1802" spans="28:29">
      <c r="AB1802" s="17"/>
      <c r="AC1802" s="17"/>
    </row>
    <row r="1803" spans="28:29">
      <c r="AB1803" s="17"/>
      <c r="AC1803" s="17"/>
    </row>
    <row r="1804" spans="28:29">
      <c r="AB1804" s="17"/>
      <c r="AC1804" s="17"/>
    </row>
    <row r="1805" spans="28:29">
      <c r="AB1805" s="17"/>
      <c r="AC1805" s="17"/>
    </row>
    <row r="1806" spans="28:29">
      <c r="AB1806" s="17"/>
      <c r="AC1806" s="17"/>
    </row>
    <row r="1807" spans="28:29">
      <c r="AB1807" s="17"/>
      <c r="AC1807" s="17"/>
    </row>
    <row r="1808" spans="28:29">
      <c r="AB1808" s="17"/>
      <c r="AC1808" s="17"/>
    </row>
    <row r="1809" spans="28:29">
      <c r="AB1809" s="17"/>
      <c r="AC1809" s="17"/>
    </row>
    <row r="1810" spans="28:29">
      <c r="AB1810" s="17"/>
      <c r="AC1810" s="17"/>
    </row>
    <row r="1811" spans="28:29">
      <c r="AB1811" s="17"/>
      <c r="AC1811" s="17"/>
    </row>
    <row r="1812" spans="28:29">
      <c r="AB1812" s="17"/>
      <c r="AC1812" s="17"/>
    </row>
    <row r="1813" spans="28:29">
      <c r="AB1813" s="17"/>
      <c r="AC1813" s="17"/>
    </row>
    <row r="1814" spans="28:29">
      <c r="AB1814" s="17"/>
      <c r="AC1814" s="17"/>
    </row>
    <row r="1815" spans="28:29">
      <c r="AB1815" s="17"/>
      <c r="AC1815" s="17"/>
    </row>
    <row r="1816" spans="28:29">
      <c r="AB1816" s="17"/>
      <c r="AC1816" s="17"/>
    </row>
    <row r="1817" spans="28:29">
      <c r="AB1817" s="17"/>
      <c r="AC1817" s="17"/>
    </row>
    <row r="1818" spans="28:29">
      <c r="AB1818" s="17"/>
      <c r="AC1818" s="17"/>
    </row>
    <row r="1819" spans="28:29">
      <c r="AB1819" s="17"/>
      <c r="AC1819" s="17"/>
    </row>
    <row r="1820" spans="28:29">
      <c r="AB1820" s="17"/>
      <c r="AC1820" s="17"/>
    </row>
    <row r="1821" spans="28:29">
      <c r="AB1821" s="17"/>
      <c r="AC1821" s="17"/>
    </row>
    <row r="1822" spans="28:29">
      <c r="AB1822" s="17"/>
      <c r="AC1822" s="17"/>
    </row>
    <row r="1823" spans="28:29">
      <c r="AB1823" s="17"/>
      <c r="AC1823" s="17"/>
    </row>
    <row r="1824" spans="28:29">
      <c r="AB1824" s="17"/>
      <c r="AC1824" s="17"/>
    </row>
    <row r="1825" spans="28:29">
      <c r="AB1825" s="17"/>
      <c r="AC1825" s="17"/>
    </row>
    <row r="1826" spans="28:29">
      <c r="AB1826" s="17"/>
      <c r="AC1826" s="17"/>
    </row>
    <row r="1827" spans="28:29">
      <c r="AB1827" s="17"/>
      <c r="AC1827" s="17"/>
    </row>
    <row r="1828" spans="28:29">
      <c r="AB1828" s="17"/>
      <c r="AC1828" s="17"/>
    </row>
    <row r="1829" spans="28:29">
      <c r="AB1829" s="17"/>
      <c r="AC1829" s="17"/>
    </row>
    <row r="1830" spans="28:29">
      <c r="AB1830" s="17"/>
      <c r="AC1830" s="17"/>
    </row>
    <row r="1831" spans="28:29">
      <c r="AB1831" s="17"/>
      <c r="AC1831" s="17"/>
    </row>
    <row r="1832" spans="28:29">
      <c r="AB1832" s="17"/>
      <c r="AC1832" s="17"/>
    </row>
    <row r="1833" spans="28:29">
      <c r="AB1833" s="17"/>
      <c r="AC1833" s="17"/>
    </row>
    <row r="1834" spans="28:29">
      <c r="AB1834" s="17"/>
      <c r="AC1834" s="17"/>
    </row>
    <row r="1835" spans="28:29">
      <c r="AB1835" s="17"/>
      <c r="AC1835" s="17"/>
    </row>
    <row r="1836" spans="28:29">
      <c r="AB1836" s="17"/>
      <c r="AC1836" s="17"/>
    </row>
    <row r="1837" spans="28:29">
      <c r="AB1837" s="17"/>
      <c r="AC1837" s="17"/>
    </row>
    <row r="1838" spans="28:29">
      <c r="AB1838" s="17"/>
      <c r="AC1838" s="17"/>
    </row>
    <row r="1839" spans="28:29">
      <c r="AB1839" s="17"/>
      <c r="AC1839" s="17"/>
    </row>
    <row r="1840" spans="28:29">
      <c r="AB1840" s="17"/>
      <c r="AC1840" s="17"/>
    </row>
    <row r="1841" spans="28:29">
      <c r="AB1841" s="17"/>
      <c r="AC1841" s="17"/>
    </row>
    <row r="1842" spans="28:29">
      <c r="AB1842" s="17"/>
      <c r="AC1842" s="17"/>
    </row>
    <row r="1843" spans="28:29">
      <c r="AB1843" s="17"/>
      <c r="AC1843" s="17"/>
    </row>
    <row r="1844" spans="28:29">
      <c r="AB1844" s="17"/>
      <c r="AC1844" s="17"/>
    </row>
    <row r="1845" spans="28:29">
      <c r="AB1845" s="17"/>
      <c r="AC1845" s="17"/>
    </row>
    <row r="1846" spans="28:29">
      <c r="AB1846" s="17"/>
      <c r="AC1846" s="17"/>
    </row>
    <row r="1847" spans="28:29">
      <c r="AB1847" s="17"/>
      <c r="AC1847" s="17"/>
    </row>
    <row r="1848" spans="28:29">
      <c r="AB1848" s="17"/>
      <c r="AC1848" s="17"/>
    </row>
    <row r="1849" spans="28:29">
      <c r="AB1849" s="17"/>
      <c r="AC1849" s="17"/>
    </row>
    <row r="1850" spans="28:29">
      <c r="AB1850" s="17"/>
      <c r="AC1850" s="17"/>
    </row>
    <row r="1851" spans="28:29">
      <c r="AB1851" s="17"/>
      <c r="AC1851" s="17"/>
    </row>
    <row r="1852" spans="28:29">
      <c r="AB1852" s="17"/>
      <c r="AC1852" s="17"/>
    </row>
    <row r="1853" spans="28:29">
      <c r="AB1853" s="17"/>
      <c r="AC1853" s="17"/>
    </row>
    <row r="1854" spans="28:29">
      <c r="AB1854" s="17"/>
      <c r="AC1854" s="17"/>
    </row>
    <row r="1855" spans="28:29">
      <c r="AB1855" s="17"/>
      <c r="AC1855" s="17"/>
    </row>
    <row r="1856" spans="28:29">
      <c r="AB1856" s="17"/>
      <c r="AC1856" s="17"/>
    </row>
    <row r="1857" spans="28:29">
      <c r="AB1857" s="17"/>
      <c r="AC1857" s="17"/>
    </row>
    <row r="1858" spans="28:29">
      <c r="AB1858" s="17"/>
      <c r="AC1858" s="17"/>
    </row>
    <row r="1859" spans="28:29">
      <c r="AB1859" s="17"/>
      <c r="AC1859" s="17"/>
    </row>
    <row r="1860" spans="28:29">
      <c r="AB1860" s="17"/>
      <c r="AC1860" s="17"/>
    </row>
    <row r="1861" spans="28:29">
      <c r="AB1861" s="17"/>
      <c r="AC1861" s="17"/>
    </row>
    <row r="1862" spans="28:29">
      <c r="AB1862" s="17"/>
      <c r="AC1862" s="17"/>
    </row>
    <row r="1863" spans="28:29">
      <c r="AB1863" s="17"/>
      <c r="AC1863" s="17"/>
    </row>
    <row r="1864" spans="28:29">
      <c r="AB1864" s="17"/>
      <c r="AC1864" s="17"/>
    </row>
    <row r="1865" spans="28:29">
      <c r="AB1865" s="17"/>
      <c r="AC1865" s="17"/>
    </row>
    <row r="1866" spans="28:29">
      <c r="AB1866" s="17"/>
      <c r="AC1866" s="17"/>
    </row>
    <row r="1867" spans="28:29">
      <c r="AB1867" s="17"/>
      <c r="AC1867" s="17"/>
    </row>
    <row r="1868" spans="28:29">
      <c r="AB1868" s="17"/>
      <c r="AC1868" s="17"/>
    </row>
    <row r="1869" spans="28:29">
      <c r="AB1869" s="17"/>
      <c r="AC1869" s="17"/>
    </row>
    <row r="1870" spans="28:29">
      <c r="AB1870" s="17"/>
      <c r="AC1870" s="17"/>
    </row>
    <row r="1871" spans="28:29">
      <c r="AB1871" s="17"/>
      <c r="AC1871" s="17"/>
    </row>
    <row r="1872" spans="28:29">
      <c r="AB1872" s="17"/>
      <c r="AC1872" s="17"/>
    </row>
    <row r="1873" spans="28:29">
      <c r="AB1873" s="17"/>
      <c r="AC1873" s="17"/>
    </row>
    <row r="1874" spans="28:29">
      <c r="AB1874" s="17"/>
      <c r="AC1874" s="17"/>
    </row>
    <row r="1875" spans="28:29">
      <c r="AB1875" s="17"/>
      <c r="AC1875" s="17"/>
    </row>
    <row r="1876" spans="28:29">
      <c r="AB1876" s="17"/>
      <c r="AC1876" s="17"/>
    </row>
    <row r="1877" spans="28:29">
      <c r="AB1877" s="17"/>
      <c r="AC1877" s="17"/>
    </row>
    <row r="1878" spans="28:29">
      <c r="AB1878" s="17"/>
      <c r="AC1878" s="17"/>
    </row>
    <row r="1879" spans="28:29">
      <c r="AB1879" s="17"/>
      <c r="AC1879" s="17"/>
    </row>
    <row r="1880" spans="28:29">
      <c r="AB1880" s="17"/>
      <c r="AC1880" s="17"/>
    </row>
    <row r="1881" spans="28:29">
      <c r="AB1881" s="17"/>
      <c r="AC1881" s="17"/>
    </row>
    <row r="1882" spans="28:29">
      <c r="AB1882" s="17"/>
      <c r="AC1882" s="17"/>
    </row>
    <row r="1883" spans="28:29">
      <c r="AB1883" s="17"/>
      <c r="AC1883" s="17"/>
    </row>
    <row r="1884" spans="28:29">
      <c r="AB1884" s="17"/>
      <c r="AC1884" s="17"/>
    </row>
    <row r="1885" spans="28:29">
      <c r="AB1885" s="17"/>
      <c r="AC1885" s="17"/>
    </row>
    <row r="1886" spans="28:29">
      <c r="AB1886" s="17"/>
      <c r="AC1886" s="17"/>
    </row>
    <row r="1887" spans="28:29">
      <c r="AB1887" s="17"/>
      <c r="AC1887" s="17"/>
    </row>
    <row r="1888" spans="28:29">
      <c r="AB1888" s="17"/>
      <c r="AC1888" s="17"/>
    </row>
    <row r="1889" spans="28:29">
      <c r="AB1889" s="17"/>
      <c r="AC1889" s="17"/>
    </row>
    <row r="1890" spans="28:29">
      <c r="AB1890" s="17"/>
      <c r="AC1890" s="17"/>
    </row>
    <row r="1891" spans="28:29">
      <c r="AB1891" s="17"/>
      <c r="AC1891" s="17"/>
    </row>
    <row r="1892" spans="28:29">
      <c r="AB1892" s="17"/>
      <c r="AC1892" s="17"/>
    </row>
    <row r="1893" spans="28:29">
      <c r="AB1893" s="17"/>
      <c r="AC1893" s="17"/>
    </row>
    <row r="1894" spans="28:29">
      <c r="AB1894" s="17"/>
      <c r="AC1894" s="17"/>
    </row>
    <row r="1895" spans="28:29">
      <c r="AB1895" s="17"/>
      <c r="AC1895" s="17"/>
    </row>
    <row r="1896" spans="28:29">
      <c r="AB1896" s="17"/>
      <c r="AC1896" s="17"/>
    </row>
    <row r="1897" spans="28:29">
      <c r="AB1897" s="17"/>
      <c r="AC1897" s="17"/>
    </row>
    <row r="1898" spans="28:29">
      <c r="AB1898" s="17"/>
      <c r="AC1898" s="17"/>
    </row>
    <row r="1899" spans="28:29">
      <c r="AB1899" s="17"/>
      <c r="AC1899" s="17"/>
    </row>
    <row r="1900" spans="28:29">
      <c r="AB1900" s="17"/>
      <c r="AC1900" s="17"/>
    </row>
    <row r="1901" spans="28:29">
      <c r="AB1901" s="17"/>
      <c r="AC1901" s="17"/>
    </row>
    <row r="1902" spans="28:29">
      <c r="AB1902" s="17"/>
      <c r="AC1902" s="17"/>
    </row>
    <row r="1903" spans="28:29">
      <c r="AB1903" s="17"/>
      <c r="AC1903" s="17"/>
    </row>
    <row r="1904" spans="28:29">
      <c r="AB1904" s="17"/>
      <c r="AC1904" s="17"/>
    </row>
    <row r="1905" spans="28:29">
      <c r="AB1905" s="17"/>
      <c r="AC1905" s="17"/>
    </row>
    <row r="1906" spans="28:29">
      <c r="AB1906" s="17"/>
      <c r="AC1906" s="17"/>
    </row>
    <row r="1907" spans="28:29">
      <c r="AB1907" s="17"/>
      <c r="AC1907" s="17"/>
    </row>
    <row r="1908" spans="28:29">
      <c r="AB1908" s="17"/>
      <c r="AC1908" s="17"/>
    </row>
    <row r="1909" spans="28:29">
      <c r="AB1909" s="17"/>
      <c r="AC1909" s="17"/>
    </row>
    <row r="1910" spans="28:29">
      <c r="AB1910" s="17"/>
      <c r="AC1910" s="17"/>
    </row>
    <row r="1911" spans="28:29">
      <c r="AB1911" s="17"/>
      <c r="AC1911" s="17"/>
    </row>
    <row r="1912" spans="28:29">
      <c r="AB1912" s="17"/>
      <c r="AC1912" s="17"/>
    </row>
    <row r="1913" spans="28:29">
      <c r="AB1913" s="17"/>
      <c r="AC1913" s="17"/>
    </row>
    <row r="1914" spans="28:29">
      <c r="AB1914" s="17"/>
      <c r="AC1914" s="17"/>
    </row>
    <row r="1915" spans="28:29">
      <c r="AB1915" s="17"/>
      <c r="AC1915" s="17"/>
    </row>
    <row r="1916" spans="28:29">
      <c r="AB1916" s="17"/>
      <c r="AC1916" s="17"/>
    </row>
    <row r="1917" spans="28:29">
      <c r="AB1917" s="17"/>
      <c r="AC1917" s="17"/>
    </row>
    <row r="1918" spans="28:29">
      <c r="AB1918" s="17"/>
      <c r="AC1918" s="17"/>
    </row>
    <row r="1919" spans="28:29">
      <c r="AB1919" s="17"/>
      <c r="AC1919" s="17"/>
    </row>
    <row r="1920" spans="28:29">
      <c r="AB1920" s="17"/>
      <c r="AC1920" s="17"/>
    </row>
    <row r="1921" spans="28:29">
      <c r="AB1921" s="17"/>
      <c r="AC1921" s="17"/>
    </row>
    <row r="1922" spans="28:29">
      <c r="AB1922" s="17"/>
      <c r="AC1922" s="17"/>
    </row>
    <row r="1923" spans="28:29">
      <c r="AB1923" s="17"/>
      <c r="AC1923" s="17"/>
    </row>
    <row r="1924" spans="28:29">
      <c r="AB1924" s="17"/>
      <c r="AC1924" s="17"/>
    </row>
    <row r="1925" spans="28:29">
      <c r="AB1925" s="17"/>
      <c r="AC1925" s="17"/>
    </row>
    <row r="1926" spans="28:29">
      <c r="AB1926" s="17"/>
      <c r="AC1926" s="17"/>
    </row>
    <row r="1927" spans="28:29">
      <c r="AB1927" s="17"/>
      <c r="AC1927" s="17"/>
    </row>
    <row r="1928" spans="28:29">
      <c r="AB1928" s="17"/>
      <c r="AC1928" s="17"/>
    </row>
    <row r="1929" spans="28:29">
      <c r="AB1929" s="17"/>
      <c r="AC1929" s="17"/>
    </row>
    <row r="1930" spans="28:29">
      <c r="AB1930" s="17"/>
      <c r="AC1930" s="17"/>
    </row>
    <row r="1931" spans="28:29">
      <c r="AB1931" s="17"/>
      <c r="AC1931" s="17"/>
    </row>
    <row r="1932" spans="28:29">
      <c r="AB1932" s="17"/>
      <c r="AC1932" s="17"/>
    </row>
    <row r="1933" spans="28:29">
      <c r="AB1933" s="17"/>
      <c r="AC1933" s="17"/>
    </row>
    <row r="1934" spans="28:29">
      <c r="AB1934" s="17"/>
      <c r="AC1934" s="17"/>
    </row>
    <row r="1935" spans="28:29">
      <c r="AB1935" s="17"/>
      <c r="AC1935" s="17"/>
    </row>
    <row r="1936" spans="28:29">
      <c r="AB1936" s="17"/>
      <c r="AC1936" s="17"/>
    </row>
    <row r="1937" spans="28:29">
      <c r="AB1937" s="17"/>
      <c r="AC1937" s="17"/>
    </row>
    <row r="1938" spans="28:29">
      <c r="AB1938" s="17"/>
      <c r="AC1938" s="17"/>
    </row>
    <row r="1939" spans="28:29">
      <c r="AB1939" s="17"/>
      <c r="AC1939" s="17"/>
    </row>
    <row r="1940" spans="28:29">
      <c r="AB1940" s="17"/>
      <c r="AC1940" s="17"/>
    </row>
    <row r="1941" spans="28:29">
      <c r="AB1941" s="17"/>
      <c r="AC1941" s="17"/>
    </row>
    <row r="1942" spans="28:29">
      <c r="AB1942" s="17"/>
      <c r="AC1942" s="17"/>
    </row>
    <row r="1943" spans="28:29">
      <c r="AB1943" s="17"/>
      <c r="AC1943" s="17"/>
    </row>
    <row r="1944" spans="28:29">
      <c r="AB1944" s="17"/>
      <c r="AC1944" s="17"/>
    </row>
    <row r="1945" spans="28:29">
      <c r="AB1945" s="17"/>
      <c r="AC1945" s="17"/>
    </row>
    <row r="1946" spans="28:29">
      <c r="AB1946" s="17"/>
      <c r="AC1946" s="17"/>
    </row>
    <row r="1947" spans="28:29">
      <c r="AB1947" s="17"/>
      <c r="AC1947" s="17"/>
    </row>
    <row r="1948" spans="28:29">
      <c r="AB1948" s="17"/>
      <c r="AC1948" s="17"/>
    </row>
    <row r="1949" spans="28:29">
      <c r="AB1949" s="17"/>
      <c r="AC1949" s="17"/>
    </row>
    <row r="1950" spans="28:29">
      <c r="AB1950" s="17"/>
      <c r="AC1950" s="17"/>
    </row>
    <row r="1951" spans="28:29">
      <c r="AB1951" s="17"/>
      <c r="AC1951" s="17"/>
    </row>
    <row r="1952" spans="28:29">
      <c r="AB1952" s="17"/>
      <c r="AC1952" s="17"/>
    </row>
    <row r="1953" spans="28:29">
      <c r="AB1953" s="17"/>
      <c r="AC1953" s="17"/>
    </row>
    <row r="1954" spans="28:29">
      <c r="AB1954" s="17"/>
      <c r="AC1954" s="17"/>
    </row>
    <row r="1955" spans="28:29">
      <c r="AB1955" s="17"/>
      <c r="AC1955" s="17"/>
    </row>
    <row r="1956" spans="28:29">
      <c r="AB1956" s="17"/>
      <c r="AC1956" s="17"/>
    </row>
    <row r="1957" spans="28:29">
      <c r="AB1957" s="17"/>
      <c r="AC1957" s="17"/>
    </row>
    <row r="1958" spans="28:29">
      <c r="AB1958" s="17"/>
      <c r="AC1958" s="17"/>
    </row>
    <row r="1959" spans="28:29">
      <c r="AB1959" s="17"/>
      <c r="AC1959" s="17"/>
    </row>
    <row r="1960" spans="28:29">
      <c r="AB1960" s="17"/>
      <c r="AC1960" s="17"/>
    </row>
    <row r="1961" spans="28:29">
      <c r="AB1961" s="17"/>
      <c r="AC1961" s="17"/>
    </row>
    <row r="1962" spans="28:29">
      <c r="AB1962" s="17"/>
      <c r="AC1962" s="17"/>
    </row>
    <row r="1963" spans="28:29">
      <c r="AB1963" s="17"/>
      <c r="AC1963" s="17"/>
    </row>
    <row r="1964" spans="28:29">
      <c r="AB1964" s="17"/>
      <c r="AC1964" s="17"/>
    </row>
    <row r="1965" spans="28:29">
      <c r="AB1965" s="17"/>
      <c r="AC1965" s="17"/>
    </row>
    <row r="1966" spans="28:29">
      <c r="AB1966" s="17"/>
      <c r="AC1966" s="17"/>
    </row>
    <row r="1967" spans="28:29">
      <c r="AB1967" s="17"/>
      <c r="AC1967" s="17"/>
    </row>
    <row r="1968" spans="28:29">
      <c r="AB1968" s="17"/>
      <c r="AC1968" s="17"/>
    </row>
    <row r="1969" spans="28:29">
      <c r="AB1969" s="17"/>
      <c r="AC1969" s="17"/>
    </row>
    <row r="1970" spans="28:29">
      <c r="AB1970" s="17"/>
      <c r="AC1970" s="17"/>
    </row>
    <row r="1971" spans="28:29">
      <c r="AB1971" s="17"/>
      <c r="AC1971" s="17"/>
    </row>
    <row r="1972" spans="28:29">
      <c r="AB1972" s="17"/>
      <c r="AC1972" s="17"/>
    </row>
    <row r="1973" spans="28:29">
      <c r="AB1973" s="17"/>
      <c r="AC1973" s="17"/>
    </row>
    <row r="1974" spans="28:29">
      <c r="AB1974" s="17"/>
      <c r="AC1974" s="17"/>
    </row>
    <row r="1975" spans="28:29">
      <c r="AB1975" s="17"/>
      <c r="AC1975" s="17"/>
    </row>
    <row r="1976" spans="28:29">
      <c r="AB1976" s="17"/>
      <c r="AC1976" s="17"/>
    </row>
    <row r="1977" spans="28:29">
      <c r="AB1977" s="17"/>
      <c r="AC1977" s="17"/>
    </row>
    <row r="1978" spans="28:29">
      <c r="AB1978" s="17"/>
      <c r="AC1978" s="17"/>
    </row>
    <row r="1979" spans="28:29">
      <c r="AB1979" s="17"/>
      <c r="AC1979" s="17"/>
    </row>
    <row r="1980" spans="28:29">
      <c r="AB1980" s="17"/>
      <c r="AC1980" s="17"/>
    </row>
    <row r="1981" spans="28:29">
      <c r="AB1981" s="17"/>
      <c r="AC1981" s="17"/>
    </row>
    <row r="1982" spans="28:29">
      <c r="AB1982" s="17"/>
      <c r="AC1982" s="17"/>
    </row>
    <row r="1983" spans="28:29">
      <c r="AB1983" s="17"/>
      <c r="AC1983" s="17"/>
    </row>
    <row r="1984" spans="28:29">
      <c r="AB1984" s="17"/>
      <c r="AC1984" s="17"/>
    </row>
    <row r="1985" spans="28:29">
      <c r="AB1985" s="17"/>
      <c r="AC1985" s="17"/>
    </row>
    <row r="1986" spans="28:29">
      <c r="AB1986" s="17"/>
      <c r="AC1986" s="17"/>
    </row>
    <row r="1987" spans="28:29">
      <c r="AB1987" s="17"/>
      <c r="AC1987" s="17"/>
    </row>
    <row r="1988" spans="28:29">
      <c r="AB1988" s="17"/>
      <c r="AC1988" s="17"/>
    </row>
    <row r="1989" spans="28:29">
      <c r="AB1989" s="17"/>
      <c r="AC1989" s="17"/>
    </row>
    <row r="1990" spans="28:29">
      <c r="AB1990" s="17"/>
      <c r="AC1990" s="17"/>
    </row>
    <row r="1991" spans="28:29">
      <c r="AB1991" s="17"/>
      <c r="AC1991" s="17"/>
    </row>
    <row r="1992" spans="28:29">
      <c r="AB1992" s="17"/>
      <c r="AC1992" s="17"/>
    </row>
    <row r="1993" spans="28:29">
      <c r="AB1993" s="17"/>
      <c r="AC1993" s="17"/>
    </row>
    <row r="1994" spans="28:29">
      <c r="AB1994" s="17"/>
      <c r="AC1994" s="17"/>
    </row>
    <row r="1995" spans="28:29">
      <c r="AB1995" s="17"/>
      <c r="AC1995" s="17"/>
    </row>
    <row r="1996" spans="28:29">
      <c r="AB1996" s="17"/>
      <c r="AC1996" s="17"/>
    </row>
    <row r="1997" spans="28:29">
      <c r="AB1997" s="17"/>
      <c r="AC1997" s="17"/>
    </row>
    <row r="1998" spans="28:29">
      <c r="AB1998" s="17"/>
      <c r="AC1998" s="17"/>
    </row>
    <row r="1999" spans="28:29">
      <c r="AB1999" s="17"/>
      <c r="AC1999" s="17"/>
    </row>
    <row r="2000" spans="28:29">
      <c r="AB2000" s="17"/>
      <c r="AC2000" s="17"/>
    </row>
    <row r="2001" spans="28:29">
      <c r="AB2001" s="17"/>
      <c r="AC2001" s="17"/>
    </row>
    <row r="2002" spans="28:29">
      <c r="AB2002" s="17"/>
      <c r="AC2002" s="17"/>
    </row>
    <row r="2003" spans="28:29">
      <c r="AB2003" s="17"/>
      <c r="AC2003" s="17"/>
    </row>
    <row r="2004" spans="28:29">
      <c r="AB2004" s="17"/>
      <c r="AC2004" s="17"/>
    </row>
    <row r="2005" spans="28:29">
      <c r="AB2005" s="17"/>
      <c r="AC2005" s="17"/>
    </row>
    <row r="2006" spans="28:29">
      <c r="AB2006" s="17"/>
      <c r="AC2006" s="17"/>
    </row>
    <row r="2007" spans="28:29">
      <c r="AB2007" s="17"/>
      <c r="AC2007" s="17"/>
    </row>
    <row r="2008" spans="28:29">
      <c r="AB2008" s="17"/>
      <c r="AC2008" s="17"/>
    </row>
    <row r="2009" spans="28:29">
      <c r="AB2009" s="17"/>
      <c r="AC2009" s="17"/>
    </row>
    <row r="2010" spans="28:29">
      <c r="AB2010" s="17"/>
      <c r="AC2010" s="17"/>
    </row>
    <row r="2011" spans="28:29">
      <c r="AB2011" s="17"/>
      <c r="AC2011" s="17"/>
    </row>
    <row r="2012" spans="28:29">
      <c r="AB2012" s="17"/>
      <c r="AC2012" s="17"/>
    </row>
    <row r="2013" spans="28:29">
      <c r="AB2013" s="17"/>
      <c r="AC2013" s="17"/>
    </row>
    <row r="2014" spans="28:29">
      <c r="AB2014" s="17"/>
      <c r="AC2014" s="17"/>
    </row>
    <row r="2015" spans="28:29">
      <c r="AB2015" s="17"/>
      <c r="AC2015" s="17"/>
    </row>
    <row r="2016" spans="28:29">
      <c r="AB2016" s="17"/>
      <c r="AC2016" s="17"/>
    </row>
    <row r="2017" spans="28:29">
      <c r="AB2017" s="17"/>
      <c r="AC2017" s="17"/>
    </row>
    <row r="2018" spans="28:29">
      <c r="AB2018" s="17"/>
      <c r="AC2018" s="17"/>
    </row>
    <row r="2019" spans="28:29">
      <c r="AB2019" s="17"/>
      <c r="AC2019" s="17"/>
    </row>
    <row r="2020" spans="28:29">
      <c r="AB2020" s="17"/>
      <c r="AC2020" s="17"/>
    </row>
    <row r="2021" spans="28:29">
      <c r="AB2021" s="17"/>
      <c r="AC2021" s="17"/>
    </row>
    <row r="2022" spans="28:29">
      <c r="AB2022" s="17"/>
      <c r="AC2022" s="17"/>
    </row>
    <row r="2023" spans="28:29">
      <c r="AB2023" s="17"/>
      <c r="AC2023" s="17"/>
    </row>
    <row r="2024" spans="28:29">
      <c r="AB2024" s="17"/>
      <c r="AC2024" s="17"/>
    </row>
    <row r="2025" spans="28:29">
      <c r="AB2025" s="17"/>
      <c r="AC2025" s="17"/>
    </row>
    <row r="2026" spans="28:29">
      <c r="AB2026" s="17"/>
      <c r="AC2026" s="17"/>
    </row>
    <row r="2027" spans="28:29">
      <c r="AB2027" s="17"/>
      <c r="AC2027" s="17"/>
    </row>
    <row r="2028" spans="28:29">
      <c r="AB2028" s="17"/>
      <c r="AC2028" s="17"/>
    </row>
    <row r="2029" spans="28:29">
      <c r="AB2029" s="17"/>
      <c r="AC2029" s="17"/>
    </row>
    <row r="2030" spans="28:29">
      <c r="AB2030" s="17"/>
      <c r="AC2030" s="17"/>
    </row>
    <row r="2031" spans="28:29">
      <c r="AB2031" s="17"/>
      <c r="AC2031" s="17"/>
    </row>
    <row r="2032" spans="28:29">
      <c r="AB2032" s="17"/>
      <c r="AC2032" s="17"/>
    </row>
    <row r="2033" spans="28:29">
      <c r="AB2033" s="17"/>
      <c r="AC2033" s="17"/>
    </row>
    <row r="2034" spans="28:29">
      <c r="AB2034" s="17"/>
      <c r="AC2034" s="17"/>
    </row>
    <row r="2035" spans="28:29">
      <c r="AB2035" s="17"/>
      <c r="AC2035" s="17"/>
    </row>
    <row r="2036" spans="28:29">
      <c r="AB2036" s="17"/>
      <c r="AC2036" s="17"/>
    </row>
    <row r="2037" spans="28:29">
      <c r="AB2037" s="17"/>
      <c r="AC2037" s="17"/>
    </row>
    <row r="2038" spans="28:29">
      <c r="AB2038" s="17"/>
      <c r="AC2038" s="17"/>
    </row>
    <row r="2039" spans="28:29">
      <c r="AB2039" s="17"/>
      <c r="AC2039" s="17"/>
    </row>
    <row r="2040" spans="28:29">
      <c r="AB2040" s="17"/>
      <c r="AC2040" s="17"/>
    </row>
    <row r="2041" spans="28:29">
      <c r="AB2041" s="17"/>
      <c r="AC2041" s="17"/>
    </row>
    <row r="2042" spans="28:29">
      <c r="AB2042" s="17"/>
      <c r="AC2042" s="17"/>
    </row>
    <row r="2043" spans="28:29">
      <c r="AB2043" s="17"/>
      <c r="AC2043" s="17"/>
    </row>
    <row r="2044" spans="28:29">
      <c r="AB2044" s="17"/>
      <c r="AC2044" s="17"/>
    </row>
    <row r="2045" spans="28:29">
      <c r="AB2045" s="17"/>
      <c r="AC2045" s="17"/>
    </row>
    <row r="2046" spans="28:29">
      <c r="AB2046" s="17"/>
      <c r="AC2046" s="17"/>
    </row>
    <row r="2047" spans="28:29">
      <c r="AB2047" s="17"/>
      <c r="AC2047" s="17"/>
    </row>
    <row r="2048" spans="28:29">
      <c r="AB2048" s="17"/>
      <c r="AC2048" s="17"/>
    </row>
    <row r="2049" spans="28:29">
      <c r="AB2049" s="17"/>
      <c r="AC2049" s="17"/>
    </row>
    <row r="2050" spans="28:29">
      <c r="AB2050" s="17"/>
      <c r="AC2050" s="17"/>
    </row>
    <row r="2051" spans="28:29">
      <c r="AB2051" s="17"/>
      <c r="AC2051" s="17"/>
    </row>
    <row r="2052" spans="28:29">
      <c r="AB2052" s="17"/>
      <c r="AC2052" s="17"/>
    </row>
    <row r="2053" spans="28:29">
      <c r="AB2053" s="17"/>
      <c r="AC2053" s="17"/>
    </row>
    <row r="2054" spans="28:29">
      <c r="AB2054" s="17"/>
      <c r="AC2054" s="17"/>
    </row>
    <row r="2055" spans="28:29">
      <c r="AB2055" s="17"/>
      <c r="AC2055" s="17"/>
    </row>
    <row r="2056" spans="28:29">
      <c r="AB2056" s="17"/>
      <c r="AC2056" s="17"/>
    </row>
    <row r="2057" spans="28:29">
      <c r="AB2057" s="17"/>
      <c r="AC2057" s="17"/>
    </row>
    <row r="2058" spans="28:29">
      <c r="AB2058" s="17"/>
      <c r="AC2058" s="17"/>
    </row>
    <row r="2059" spans="28:29">
      <c r="AB2059" s="17"/>
      <c r="AC2059" s="17"/>
    </row>
    <row r="2060" spans="28:29">
      <c r="AB2060" s="17"/>
      <c r="AC2060" s="17"/>
    </row>
    <row r="2061" spans="28:29">
      <c r="AB2061" s="17"/>
      <c r="AC2061" s="17"/>
    </row>
    <row r="2062" spans="28:29">
      <c r="AB2062" s="17"/>
      <c r="AC2062" s="17"/>
    </row>
    <row r="2063" spans="28:29">
      <c r="AB2063" s="17"/>
      <c r="AC2063" s="17"/>
    </row>
    <row r="2064" spans="28:29">
      <c r="AB2064" s="17"/>
      <c r="AC2064" s="17"/>
    </row>
    <row r="2065" spans="28:29">
      <c r="AB2065" s="17"/>
      <c r="AC2065" s="17"/>
    </row>
    <row r="2066" spans="28:29">
      <c r="AB2066" s="17"/>
      <c r="AC2066" s="17"/>
    </row>
    <row r="2067" spans="28:29">
      <c r="AB2067" s="17"/>
      <c r="AC2067" s="17"/>
    </row>
    <row r="2068" spans="28:29">
      <c r="AB2068" s="17"/>
      <c r="AC2068" s="17"/>
    </row>
    <row r="2069" spans="28:29">
      <c r="AB2069" s="17"/>
      <c r="AC2069" s="17"/>
    </row>
    <row r="2070" spans="28:29">
      <c r="AB2070" s="17"/>
      <c r="AC2070" s="17"/>
    </row>
    <row r="2071" spans="28:29">
      <c r="AB2071" s="17"/>
      <c r="AC2071" s="17"/>
    </row>
    <row r="2072" spans="28:29">
      <c r="AB2072" s="17"/>
      <c r="AC2072" s="17"/>
    </row>
    <row r="2073" spans="28:29">
      <c r="AB2073" s="17"/>
      <c r="AC2073" s="17"/>
    </row>
    <row r="2074" spans="28:29">
      <c r="AB2074" s="17"/>
      <c r="AC2074" s="17"/>
    </row>
    <row r="2075" spans="28:29">
      <c r="AB2075" s="17"/>
      <c r="AC2075" s="17"/>
    </row>
    <row r="2076" spans="28:29">
      <c r="AB2076" s="17"/>
      <c r="AC2076" s="17"/>
    </row>
    <row r="2077" spans="28:29">
      <c r="AB2077" s="17"/>
      <c r="AC2077" s="17"/>
    </row>
    <row r="2078" spans="28:29">
      <c r="AB2078" s="17"/>
      <c r="AC2078" s="17"/>
    </row>
    <row r="2079" spans="28:29">
      <c r="AB2079" s="17"/>
      <c r="AC2079" s="17"/>
    </row>
    <row r="2080" spans="28:29">
      <c r="AB2080" s="17"/>
      <c r="AC2080" s="17"/>
    </row>
    <row r="2081" spans="28:29">
      <c r="AB2081" s="17"/>
      <c r="AC2081" s="17"/>
    </row>
    <row r="2082" spans="28:29">
      <c r="AB2082" s="17"/>
      <c r="AC2082" s="17"/>
    </row>
    <row r="2083" spans="28:29">
      <c r="AB2083" s="17"/>
      <c r="AC2083" s="17"/>
    </row>
    <row r="2084" spans="28:29">
      <c r="AB2084" s="17"/>
      <c r="AC2084" s="17"/>
    </row>
    <row r="2085" spans="28:29">
      <c r="AB2085" s="17"/>
      <c r="AC2085" s="17"/>
    </row>
    <row r="2086" spans="28:29">
      <c r="AB2086" s="17"/>
      <c r="AC2086" s="17"/>
    </row>
    <row r="2087" spans="28:29">
      <c r="AB2087" s="17"/>
      <c r="AC2087" s="17"/>
    </row>
    <row r="2088" spans="28:29">
      <c r="AB2088" s="17"/>
      <c r="AC2088" s="17"/>
    </row>
    <row r="2089" spans="28:29">
      <c r="AB2089" s="17"/>
      <c r="AC2089" s="17"/>
    </row>
    <row r="2090" spans="28:29">
      <c r="AB2090" s="17"/>
      <c r="AC2090" s="17"/>
    </row>
    <row r="2091" spans="28:29">
      <c r="AB2091" s="17"/>
      <c r="AC2091" s="17"/>
    </row>
    <row r="2092" spans="28:29">
      <c r="AB2092" s="17"/>
      <c r="AC2092" s="17"/>
    </row>
    <row r="2093" spans="28:29">
      <c r="AB2093" s="17"/>
      <c r="AC2093" s="17"/>
    </row>
    <row r="2094" spans="28:29">
      <c r="AB2094" s="17"/>
      <c r="AC2094" s="17"/>
    </row>
    <row r="2095" spans="28:29">
      <c r="AB2095" s="17"/>
      <c r="AC2095" s="17"/>
    </row>
    <row r="2096" spans="28:29">
      <c r="AB2096" s="17"/>
      <c r="AC2096" s="17"/>
    </row>
    <row r="2097" spans="28:29">
      <c r="AB2097" s="17"/>
      <c r="AC2097" s="17"/>
    </row>
    <row r="2098" spans="28:29">
      <c r="AB2098" s="17"/>
      <c r="AC2098" s="17"/>
    </row>
    <row r="2099" spans="28:29">
      <c r="AB2099" s="17"/>
      <c r="AC2099" s="17"/>
    </row>
    <row r="2100" spans="28:29">
      <c r="AB2100" s="17"/>
      <c r="AC2100" s="17"/>
    </row>
    <row r="2101" spans="28:29">
      <c r="AB2101" s="17"/>
      <c r="AC2101" s="17"/>
    </row>
    <row r="2102" spans="28:29">
      <c r="AB2102" s="17"/>
      <c r="AC2102" s="17"/>
    </row>
    <row r="2103" spans="28:29">
      <c r="AB2103" s="17"/>
      <c r="AC2103" s="17"/>
    </row>
    <row r="2104" spans="28:29">
      <c r="AB2104" s="17"/>
      <c r="AC2104" s="17"/>
    </row>
    <row r="2105" spans="28:29">
      <c r="AB2105" s="17"/>
      <c r="AC2105" s="17"/>
    </row>
    <row r="2106" spans="28:29">
      <c r="AB2106" s="17"/>
      <c r="AC2106" s="17"/>
    </row>
    <row r="2107" spans="28:29">
      <c r="AB2107" s="17"/>
      <c r="AC2107" s="17"/>
    </row>
    <row r="2108" spans="28:29">
      <c r="AB2108" s="17"/>
      <c r="AC2108" s="17"/>
    </row>
    <row r="2109" spans="28:29">
      <c r="AB2109" s="17"/>
      <c r="AC2109" s="17"/>
    </row>
    <row r="2110" spans="28:29">
      <c r="AB2110" s="17"/>
      <c r="AC2110" s="17"/>
    </row>
    <row r="2111" spans="28:29">
      <c r="AB2111" s="17"/>
      <c r="AC2111" s="17"/>
    </row>
    <row r="2112" spans="28:29">
      <c r="AB2112" s="17"/>
      <c r="AC2112" s="17"/>
    </row>
    <row r="2113" spans="28:29">
      <c r="AB2113" s="17"/>
      <c r="AC2113" s="17"/>
    </row>
    <row r="2114" spans="28:29">
      <c r="AB2114" s="17"/>
      <c r="AC2114" s="17"/>
    </row>
    <row r="2115" spans="28:29">
      <c r="AB2115" s="17"/>
      <c r="AC2115" s="17"/>
    </row>
    <row r="2116" spans="28:29">
      <c r="AB2116" s="17"/>
      <c r="AC2116" s="17"/>
    </row>
    <row r="2117" spans="28:29">
      <c r="AB2117" s="17"/>
      <c r="AC2117" s="17"/>
    </row>
    <row r="2118" spans="28:29">
      <c r="AB2118" s="17"/>
      <c r="AC2118" s="17"/>
    </row>
    <row r="2119" spans="28:29">
      <c r="AB2119" s="17"/>
      <c r="AC2119" s="17"/>
    </row>
    <row r="2120" spans="28:29">
      <c r="AB2120" s="17"/>
      <c r="AC2120" s="17"/>
    </row>
    <row r="2121" spans="28:29">
      <c r="AB2121" s="17"/>
      <c r="AC2121" s="17"/>
    </row>
    <row r="2122" spans="28:29">
      <c r="AB2122" s="17"/>
      <c r="AC2122" s="17"/>
    </row>
    <row r="2123" spans="28:29">
      <c r="AB2123" s="17"/>
      <c r="AC2123" s="17"/>
    </row>
    <row r="2124" spans="28:29">
      <c r="AB2124" s="17"/>
      <c r="AC2124" s="17"/>
    </row>
    <row r="2125" spans="28:29">
      <c r="AB2125" s="17"/>
      <c r="AC2125" s="17"/>
    </row>
    <row r="2126" spans="28:29">
      <c r="AB2126" s="17"/>
      <c r="AC2126" s="17"/>
    </row>
    <row r="2127" spans="28:29">
      <c r="AB2127" s="17"/>
      <c r="AC2127" s="17"/>
    </row>
    <row r="2128" spans="28:29">
      <c r="AB2128" s="17"/>
      <c r="AC2128" s="17"/>
    </row>
    <row r="2129" spans="28:29">
      <c r="AB2129" s="17"/>
      <c r="AC2129" s="17"/>
    </row>
    <row r="2130" spans="28:29">
      <c r="AB2130" s="17"/>
      <c r="AC2130" s="17"/>
    </row>
    <row r="2131" spans="28:29">
      <c r="AB2131" s="17"/>
      <c r="AC2131" s="17"/>
    </row>
    <row r="2132" spans="28:29">
      <c r="AB2132" s="17"/>
      <c r="AC2132" s="17"/>
    </row>
    <row r="2133" spans="28:29">
      <c r="AB2133" s="17"/>
      <c r="AC2133" s="17"/>
    </row>
    <row r="2134" spans="28:29">
      <c r="AB2134" s="17"/>
      <c r="AC2134" s="17"/>
    </row>
    <row r="2135" spans="28:29">
      <c r="AB2135" s="17"/>
      <c r="AC2135" s="17"/>
    </row>
    <row r="2136" spans="28:29">
      <c r="AB2136" s="17"/>
      <c r="AC2136" s="17"/>
    </row>
    <row r="2137" spans="28:29">
      <c r="AB2137" s="17"/>
      <c r="AC2137" s="17"/>
    </row>
    <row r="2138" spans="28:29">
      <c r="AB2138" s="17"/>
      <c r="AC2138" s="17"/>
    </row>
    <row r="2139" spans="28:29">
      <c r="AB2139" s="17"/>
      <c r="AC2139" s="17"/>
    </row>
    <row r="2140" spans="28:29">
      <c r="AB2140" s="17"/>
      <c r="AC2140" s="17"/>
    </row>
    <row r="2141" spans="28:29">
      <c r="AB2141" s="17"/>
      <c r="AC2141" s="17"/>
    </row>
    <row r="2142" spans="28:29">
      <c r="AB2142" s="17"/>
      <c r="AC2142" s="17"/>
    </row>
    <row r="2143" spans="28:29">
      <c r="AB2143" s="17"/>
      <c r="AC2143" s="17"/>
    </row>
    <row r="2144" spans="28:29">
      <c r="AB2144" s="17"/>
      <c r="AC2144" s="17"/>
    </row>
    <row r="2145" spans="28:29">
      <c r="AB2145" s="17"/>
      <c r="AC2145" s="17"/>
    </row>
    <row r="2146" spans="28:29">
      <c r="AB2146" s="17"/>
      <c r="AC2146" s="17"/>
    </row>
    <row r="2147" spans="28:29">
      <c r="AB2147" s="17"/>
      <c r="AC2147" s="17"/>
    </row>
    <row r="2148" spans="28:29">
      <c r="AB2148" s="17"/>
      <c r="AC2148" s="17"/>
    </row>
    <row r="2149" spans="28:29">
      <c r="AB2149" s="17"/>
      <c r="AC2149" s="17"/>
    </row>
    <row r="2150" spans="28:29">
      <c r="AB2150" s="17"/>
      <c r="AC2150" s="17"/>
    </row>
    <row r="2151" spans="28:29">
      <c r="AB2151" s="17"/>
      <c r="AC2151" s="17"/>
    </row>
    <row r="2152" spans="28:29">
      <c r="AB2152" s="17"/>
      <c r="AC2152" s="17"/>
    </row>
    <row r="2153" spans="28:29">
      <c r="AB2153" s="17"/>
      <c r="AC2153" s="17"/>
    </row>
    <row r="2154" spans="28:29">
      <c r="AB2154" s="17"/>
      <c r="AC2154" s="17"/>
    </row>
    <row r="2155" spans="28:29">
      <c r="AB2155" s="17"/>
      <c r="AC2155" s="17"/>
    </row>
    <row r="2156" spans="28:29">
      <c r="AB2156" s="17"/>
      <c r="AC2156" s="17"/>
    </row>
    <row r="2157" spans="28:29">
      <c r="AB2157" s="17"/>
      <c r="AC2157" s="17"/>
    </row>
    <row r="2158" spans="28:29">
      <c r="AB2158" s="17"/>
      <c r="AC2158" s="17"/>
    </row>
    <row r="2159" spans="28:29">
      <c r="AB2159" s="17"/>
      <c r="AC2159" s="17"/>
    </row>
    <row r="2160" spans="28:29">
      <c r="AB2160" s="17"/>
      <c r="AC2160" s="17"/>
    </row>
    <row r="2161" spans="28:29">
      <c r="AB2161" s="17"/>
      <c r="AC2161" s="17"/>
    </row>
    <row r="2162" spans="28:29">
      <c r="AB2162" s="17"/>
      <c r="AC2162" s="17"/>
    </row>
    <row r="2163" spans="28:29">
      <c r="AB2163" s="17"/>
      <c r="AC2163" s="17"/>
    </row>
    <row r="2164" spans="28:29">
      <c r="AB2164" s="17"/>
      <c r="AC2164" s="17"/>
    </row>
    <row r="2165" spans="28:29">
      <c r="AB2165" s="17"/>
      <c r="AC2165" s="17"/>
    </row>
    <row r="2166" spans="28:29">
      <c r="AB2166" s="17"/>
      <c r="AC2166" s="17"/>
    </row>
    <row r="2167" spans="28:29">
      <c r="AB2167" s="17"/>
      <c r="AC2167" s="17"/>
    </row>
    <row r="2168" spans="28:29">
      <c r="AB2168" s="17"/>
      <c r="AC2168" s="17"/>
    </row>
    <row r="2169" spans="28:29">
      <c r="AB2169" s="17"/>
      <c r="AC2169" s="17"/>
    </row>
    <row r="2170" spans="28:29">
      <c r="AB2170" s="17"/>
      <c r="AC2170" s="17"/>
    </row>
    <row r="2171" spans="28:29">
      <c r="AB2171" s="17"/>
      <c r="AC2171" s="17"/>
    </row>
    <row r="2172" spans="28:29">
      <c r="AB2172" s="17"/>
      <c r="AC2172" s="17"/>
    </row>
    <row r="2173" spans="28:29">
      <c r="AB2173" s="17"/>
      <c r="AC2173" s="17"/>
    </row>
    <row r="2174" spans="28:29">
      <c r="AB2174" s="17"/>
      <c r="AC2174" s="17"/>
    </row>
    <row r="2175" spans="28:29">
      <c r="AB2175" s="17"/>
      <c r="AC2175" s="17"/>
    </row>
    <row r="2176" spans="28:29">
      <c r="AB2176" s="17"/>
      <c r="AC2176" s="17"/>
    </row>
    <row r="2177" spans="28:29">
      <c r="AB2177" s="17"/>
      <c r="AC2177" s="17"/>
    </row>
    <row r="2178" spans="28:29">
      <c r="AB2178" s="17"/>
      <c r="AC2178" s="17"/>
    </row>
    <row r="2179" spans="28:29">
      <c r="AB2179" s="17"/>
      <c r="AC2179" s="17"/>
    </row>
    <row r="2180" spans="28:29">
      <c r="AB2180" s="17"/>
      <c r="AC2180" s="17"/>
    </row>
    <row r="2181" spans="28:29">
      <c r="AB2181" s="17"/>
      <c r="AC2181" s="17"/>
    </row>
    <row r="2182" spans="28:29">
      <c r="AB2182" s="17"/>
      <c r="AC2182" s="17"/>
    </row>
    <row r="2183" spans="28:29">
      <c r="AB2183" s="17"/>
      <c r="AC2183" s="17"/>
    </row>
    <row r="2184" spans="28:29">
      <c r="AB2184" s="17"/>
      <c r="AC2184" s="17"/>
    </row>
    <row r="2185" spans="28:29">
      <c r="AB2185" s="17"/>
      <c r="AC2185" s="17"/>
    </row>
    <row r="2186" spans="28:29">
      <c r="AB2186" s="17"/>
      <c r="AC2186" s="17"/>
    </row>
    <row r="2187" spans="28:29">
      <c r="AB2187" s="17"/>
      <c r="AC2187" s="17"/>
    </row>
    <row r="2188" spans="28:29">
      <c r="AB2188" s="17"/>
      <c r="AC2188" s="17"/>
    </row>
    <row r="2189" spans="28:29">
      <c r="AB2189" s="17"/>
      <c r="AC2189" s="17"/>
    </row>
    <row r="2190" spans="28:29">
      <c r="AB2190" s="17"/>
      <c r="AC2190" s="17"/>
    </row>
    <row r="2191" spans="28:29">
      <c r="AB2191" s="17"/>
      <c r="AC2191" s="17"/>
    </row>
    <row r="2192" spans="28:29">
      <c r="AB2192" s="17"/>
      <c r="AC2192" s="17"/>
    </row>
    <row r="2193" spans="28:29">
      <c r="AB2193" s="17"/>
      <c r="AC2193" s="17"/>
    </row>
    <row r="2194" spans="28:29">
      <c r="AB2194" s="17"/>
      <c r="AC2194" s="17"/>
    </row>
    <row r="2195" spans="28:29">
      <c r="AB2195" s="17"/>
      <c r="AC2195" s="17"/>
    </row>
    <row r="2196" spans="28:29">
      <c r="AB2196" s="17"/>
      <c r="AC2196" s="17"/>
    </row>
    <row r="2197" spans="28:29">
      <c r="AB2197" s="17"/>
      <c r="AC2197" s="17"/>
    </row>
    <row r="2198" spans="28:29">
      <c r="AB2198" s="17"/>
      <c r="AC2198" s="17"/>
    </row>
    <row r="2199" spans="28:29">
      <c r="AB2199" s="17"/>
      <c r="AC2199" s="17"/>
    </row>
    <row r="2200" spans="28:29">
      <c r="AB2200" s="17"/>
      <c r="AC2200" s="17"/>
    </row>
    <row r="2201" spans="28:29">
      <c r="AB2201" s="17"/>
      <c r="AC2201" s="17"/>
    </row>
    <row r="2202" spans="28:29">
      <c r="AB2202" s="17"/>
      <c r="AC2202" s="17"/>
    </row>
    <row r="2203" spans="28:29">
      <c r="AB2203" s="17"/>
      <c r="AC2203" s="17"/>
    </row>
    <row r="2204" spans="28:29">
      <c r="AB2204" s="17"/>
      <c r="AC2204" s="17"/>
    </row>
    <row r="2205" spans="28:29">
      <c r="AB2205" s="17"/>
      <c r="AC2205" s="17"/>
    </row>
    <row r="2206" spans="28:29">
      <c r="AB2206" s="17"/>
      <c r="AC2206" s="17"/>
    </row>
    <row r="2207" spans="28:29">
      <c r="AB2207" s="17"/>
      <c r="AC2207" s="17"/>
    </row>
    <row r="2208" spans="28:29">
      <c r="AB2208" s="17"/>
      <c r="AC2208" s="17"/>
    </row>
    <row r="2209" spans="28:29">
      <c r="AB2209" s="17"/>
      <c r="AC2209" s="17"/>
    </row>
    <row r="2210" spans="28:29">
      <c r="AB2210" s="17"/>
      <c r="AC2210" s="17"/>
    </row>
    <row r="2211" spans="28:29">
      <c r="AB2211" s="17"/>
      <c r="AC2211" s="17"/>
    </row>
    <row r="2212" spans="28:29">
      <c r="AB2212" s="17"/>
      <c r="AC2212" s="17"/>
    </row>
    <row r="2213" spans="28:29">
      <c r="AB2213" s="17"/>
      <c r="AC2213" s="17"/>
    </row>
    <row r="2214" spans="28:29">
      <c r="AB2214" s="17"/>
      <c r="AC2214" s="17"/>
    </row>
    <row r="2215" spans="28:29">
      <c r="AB2215" s="17"/>
      <c r="AC2215" s="17"/>
    </row>
    <row r="2216" spans="28:29">
      <c r="AB2216" s="17"/>
      <c r="AC2216" s="17"/>
    </row>
    <row r="2217" spans="28:29">
      <c r="AB2217" s="17"/>
      <c r="AC2217" s="17"/>
    </row>
    <row r="2218" spans="28:29">
      <c r="AB2218" s="17"/>
      <c r="AC2218" s="17"/>
    </row>
    <row r="2219" spans="28:29">
      <c r="AB2219" s="17"/>
      <c r="AC2219" s="17"/>
    </row>
    <row r="2220" spans="28:29">
      <c r="AB2220" s="17"/>
      <c r="AC2220" s="17"/>
    </row>
    <row r="2221" spans="28:29">
      <c r="AB2221" s="17"/>
      <c r="AC2221" s="17"/>
    </row>
    <row r="2222" spans="28:29">
      <c r="AB2222" s="17"/>
      <c r="AC2222" s="17"/>
    </row>
    <row r="2223" spans="28:29">
      <c r="AB2223" s="17"/>
      <c r="AC2223" s="17"/>
    </row>
    <row r="2224" spans="28:29">
      <c r="AB2224" s="17"/>
      <c r="AC2224" s="17"/>
    </row>
    <row r="2225" spans="28:29">
      <c r="AB2225" s="17"/>
      <c r="AC2225" s="17"/>
    </row>
    <row r="2226" spans="28:29">
      <c r="AB2226" s="17"/>
      <c r="AC2226" s="17"/>
    </row>
    <row r="2227" spans="28:29">
      <c r="AB2227" s="17"/>
      <c r="AC2227" s="17"/>
    </row>
    <row r="2228" spans="28:29">
      <c r="AB2228" s="17"/>
      <c r="AC2228" s="17"/>
    </row>
    <row r="2229" spans="28:29">
      <c r="AB2229" s="17"/>
      <c r="AC2229" s="17"/>
    </row>
    <row r="2230" spans="28:29">
      <c r="AB2230" s="17"/>
      <c r="AC2230" s="17"/>
    </row>
    <row r="2231" spans="28:29">
      <c r="AB2231" s="17"/>
      <c r="AC2231" s="17"/>
    </row>
    <row r="2232" spans="28:29">
      <c r="AB2232" s="17"/>
      <c r="AC2232" s="17"/>
    </row>
    <row r="2233" spans="28:29">
      <c r="AB2233" s="17"/>
      <c r="AC2233" s="17"/>
    </row>
    <row r="2234" spans="28:29">
      <c r="AB2234" s="17"/>
      <c r="AC2234" s="17"/>
    </row>
    <row r="2235" spans="28:29">
      <c r="AB2235" s="17"/>
      <c r="AC2235" s="17"/>
    </row>
    <row r="2236" spans="28:29">
      <c r="AB2236" s="17"/>
      <c r="AC2236" s="17"/>
    </row>
    <row r="2237" spans="28:29">
      <c r="AB2237" s="17"/>
      <c r="AC2237" s="17"/>
    </row>
    <row r="2238" spans="28:29">
      <c r="AB2238" s="17"/>
      <c r="AC2238" s="17"/>
    </row>
    <row r="2239" spans="28:29">
      <c r="AB2239" s="17"/>
      <c r="AC2239" s="17"/>
    </row>
    <row r="2240" spans="28:29">
      <c r="AB2240" s="17"/>
      <c r="AC2240" s="17"/>
    </row>
    <row r="2241" spans="28:29">
      <c r="AB2241" s="17"/>
      <c r="AC2241" s="17"/>
    </row>
    <row r="2242" spans="28:29">
      <c r="AB2242" s="17"/>
      <c r="AC2242" s="17"/>
    </row>
    <row r="2243" spans="28:29">
      <c r="AB2243" s="17"/>
      <c r="AC2243" s="17"/>
    </row>
    <row r="2244" spans="28:29">
      <c r="AB2244" s="17"/>
      <c r="AC2244" s="17"/>
    </row>
    <row r="2245" spans="28:29">
      <c r="AB2245" s="17"/>
      <c r="AC2245" s="17"/>
    </row>
    <row r="2246" spans="28:29">
      <c r="AB2246" s="17"/>
      <c r="AC2246" s="17"/>
    </row>
    <row r="2247" spans="28:29">
      <c r="AB2247" s="17"/>
      <c r="AC2247" s="17"/>
    </row>
    <row r="2248" spans="28:29">
      <c r="AB2248" s="17"/>
      <c r="AC2248" s="17"/>
    </row>
    <row r="2249" spans="28:29">
      <c r="AB2249" s="17"/>
      <c r="AC2249" s="17"/>
    </row>
    <row r="2250" spans="28:29">
      <c r="AB2250" s="17"/>
      <c r="AC2250" s="17"/>
    </row>
    <row r="2251" spans="28:29">
      <c r="AB2251" s="17"/>
      <c r="AC2251" s="17"/>
    </row>
    <row r="2252" spans="28:29">
      <c r="AB2252" s="17"/>
      <c r="AC2252" s="17"/>
    </row>
    <row r="2253" spans="28:29">
      <c r="AB2253" s="17"/>
      <c r="AC2253" s="17"/>
    </row>
    <row r="2254" spans="28:29">
      <c r="AB2254" s="17"/>
      <c r="AC2254" s="17"/>
    </row>
    <row r="2255" spans="28:29">
      <c r="AB2255" s="17"/>
      <c r="AC2255" s="17"/>
    </row>
    <row r="2256" spans="28:29">
      <c r="AB2256" s="17"/>
      <c r="AC2256" s="17"/>
    </row>
    <row r="2257" spans="28:29">
      <c r="AB2257" s="17"/>
      <c r="AC2257" s="17"/>
    </row>
    <row r="2258" spans="28:29">
      <c r="AB2258" s="17"/>
      <c r="AC2258" s="17"/>
    </row>
    <row r="2259" spans="28:29">
      <c r="AB2259" s="17"/>
      <c r="AC2259" s="17"/>
    </row>
    <row r="2260" spans="28:29">
      <c r="AB2260" s="17"/>
      <c r="AC2260" s="17"/>
    </row>
    <row r="2261" spans="28:29">
      <c r="AB2261" s="17"/>
      <c r="AC2261" s="17"/>
    </row>
    <row r="2262" spans="28:29">
      <c r="AB2262" s="17"/>
      <c r="AC2262" s="17"/>
    </row>
    <row r="2263" spans="28:29">
      <c r="AB2263" s="17"/>
      <c r="AC2263" s="17"/>
    </row>
    <row r="2264" spans="28:29">
      <c r="AB2264" s="17"/>
      <c r="AC2264" s="17"/>
    </row>
    <row r="2265" spans="28:29">
      <c r="AB2265" s="17"/>
      <c r="AC2265" s="17"/>
    </row>
    <row r="2266" spans="28:29">
      <c r="AB2266" s="17"/>
      <c r="AC2266" s="17"/>
    </row>
    <row r="2267" spans="28:29">
      <c r="AB2267" s="17"/>
      <c r="AC2267" s="17"/>
    </row>
    <row r="2268" spans="28:29">
      <c r="AB2268" s="17"/>
      <c r="AC2268" s="17"/>
    </row>
    <row r="2269" spans="28:29">
      <c r="AB2269" s="17"/>
      <c r="AC2269" s="17"/>
    </row>
    <row r="2270" spans="28:29">
      <c r="AB2270" s="17"/>
      <c r="AC2270" s="17"/>
    </row>
    <row r="2271" spans="28:29">
      <c r="AB2271" s="17"/>
      <c r="AC2271" s="17"/>
    </row>
    <row r="2272" spans="28:29">
      <c r="AB2272" s="17"/>
      <c r="AC2272" s="17"/>
    </row>
    <row r="2273" spans="28:29">
      <c r="AB2273" s="17"/>
      <c r="AC2273" s="17"/>
    </row>
    <row r="2274" spans="28:29">
      <c r="AB2274" s="17"/>
      <c r="AC2274" s="17"/>
    </row>
    <row r="2275" spans="28:29">
      <c r="AB2275" s="17"/>
      <c r="AC2275" s="17"/>
    </row>
    <row r="2276" spans="28:29">
      <c r="AB2276" s="17"/>
      <c r="AC2276" s="17"/>
    </row>
    <row r="2277" spans="28:29">
      <c r="AB2277" s="17"/>
      <c r="AC2277" s="17"/>
    </row>
    <row r="2278" spans="28:29">
      <c r="AB2278" s="17"/>
      <c r="AC2278" s="17"/>
    </row>
    <row r="2279" spans="28:29">
      <c r="AB2279" s="17"/>
      <c r="AC2279" s="17"/>
    </row>
    <row r="2280" spans="28:29">
      <c r="AB2280" s="17"/>
      <c r="AC2280" s="17"/>
    </row>
    <row r="2281" spans="28:29">
      <c r="AB2281" s="17"/>
      <c r="AC2281" s="17"/>
    </row>
    <row r="2282" spans="28:29">
      <c r="AB2282" s="17"/>
      <c r="AC2282" s="17"/>
    </row>
    <row r="2283" spans="28:29">
      <c r="AB2283" s="17"/>
      <c r="AC2283" s="17"/>
    </row>
    <row r="2284" spans="28:29">
      <c r="AB2284" s="17"/>
      <c r="AC2284" s="17"/>
    </row>
    <row r="2285" spans="28:29">
      <c r="AB2285" s="17"/>
      <c r="AC2285" s="17"/>
    </row>
    <row r="2286" spans="28:29">
      <c r="AB2286" s="17"/>
      <c r="AC2286" s="17"/>
    </row>
    <row r="2287" spans="28:29">
      <c r="AB2287" s="17"/>
      <c r="AC2287" s="17"/>
    </row>
    <row r="2288" spans="28:29">
      <c r="AB2288" s="17"/>
      <c r="AC2288" s="17"/>
    </row>
    <row r="2289" spans="28:29">
      <c r="AB2289" s="17"/>
      <c r="AC2289" s="17"/>
    </row>
    <row r="2290" spans="28:29">
      <c r="AB2290" s="17"/>
      <c r="AC2290" s="17"/>
    </row>
    <row r="2291" spans="28:29">
      <c r="AB2291" s="17"/>
      <c r="AC2291" s="17"/>
    </row>
    <row r="2292" spans="28:29">
      <c r="AB2292" s="17"/>
      <c r="AC2292" s="17"/>
    </row>
    <row r="2293" spans="28:29">
      <c r="AB2293" s="17"/>
      <c r="AC2293" s="17"/>
    </row>
    <row r="2294" spans="28:29">
      <c r="AB2294" s="17"/>
      <c r="AC2294" s="17"/>
    </row>
    <row r="2295" spans="28:29">
      <c r="AB2295" s="17"/>
      <c r="AC2295" s="17"/>
    </row>
    <row r="2296" spans="28:29">
      <c r="AB2296" s="17"/>
      <c r="AC2296" s="17"/>
    </row>
    <row r="2297" spans="28:29">
      <c r="AB2297" s="17"/>
      <c r="AC2297" s="17"/>
    </row>
    <row r="2298" spans="28:29">
      <c r="AB2298" s="17"/>
      <c r="AC2298" s="17"/>
    </row>
    <row r="2299" spans="28:29">
      <c r="AB2299" s="17"/>
      <c r="AC2299" s="17"/>
    </row>
    <row r="2300" spans="28:29">
      <c r="AB2300" s="17"/>
      <c r="AC2300" s="17"/>
    </row>
    <row r="2301" spans="28:29">
      <c r="AB2301" s="17"/>
      <c r="AC2301" s="17"/>
    </row>
    <row r="2302" spans="28:29">
      <c r="AB2302" s="17"/>
      <c r="AC2302" s="17"/>
    </row>
    <row r="2303" spans="28:29">
      <c r="AB2303" s="17"/>
      <c r="AC2303" s="17"/>
    </row>
    <row r="2304" spans="28:29">
      <c r="AB2304" s="17"/>
      <c r="AC2304" s="17"/>
    </row>
    <row r="2305" spans="28:29">
      <c r="AB2305" s="17"/>
      <c r="AC2305" s="17"/>
    </row>
    <row r="2306" spans="28:29">
      <c r="AB2306" s="17"/>
      <c r="AC2306" s="17"/>
    </row>
    <row r="2307" spans="28:29">
      <c r="AB2307" s="17"/>
      <c r="AC2307" s="17"/>
    </row>
    <row r="2308" spans="28:29">
      <c r="AB2308" s="17"/>
      <c r="AC2308" s="17"/>
    </row>
    <row r="2309" spans="28:29">
      <c r="AB2309" s="17"/>
      <c r="AC2309" s="17"/>
    </row>
    <row r="2310" spans="28:29">
      <c r="AB2310" s="17"/>
      <c r="AC2310" s="17"/>
    </row>
    <row r="2311" spans="28:29">
      <c r="AB2311" s="17"/>
      <c r="AC2311" s="17"/>
    </row>
    <row r="2312" spans="28:29">
      <c r="AB2312" s="17"/>
      <c r="AC2312" s="17"/>
    </row>
    <row r="2313" spans="28:29">
      <c r="AB2313" s="17"/>
      <c r="AC2313" s="17"/>
    </row>
    <row r="2314" spans="28:29">
      <c r="AB2314" s="17"/>
      <c r="AC2314" s="17"/>
    </row>
    <row r="2315" spans="28:29">
      <c r="AB2315" s="17"/>
      <c r="AC2315" s="17"/>
    </row>
    <row r="2316" spans="28:29">
      <c r="AB2316" s="17"/>
      <c r="AC2316" s="17"/>
    </row>
    <row r="2317" spans="28:29">
      <c r="AB2317" s="17"/>
      <c r="AC2317" s="17"/>
    </row>
    <row r="2318" spans="28:29">
      <c r="AB2318" s="17"/>
      <c r="AC2318" s="17"/>
    </row>
    <row r="2319" spans="28:29">
      <c r="AB2319" s="17"/>
      <c r="AC2319" s="17"/>
    </row>
    <row r="2320" spans="28:29">
      <c r="AB2320" s="17"/>
      <c r="AC2320" s="17"/>
    </row>
    <row r="2321" spans="28:29">
      <c r="AB2321" s="17"/>
      <c r="AC2321" s="17"/>
    </row>
    <row r="2322" spans="28:29">
      <c r="AB2322" s="17"/>
      <c r="AC2322" s="17"/>
    </row>
    <row r="2323" spans="28:29">
      <c r="AB2323" s="17"/>
      <c r="AC2323" s="17"/>
    </row>
    <row r="2324" spans="28:29">
      <c r="AB2324" s="17"/>
      <c r="AC2324" s="17"/>
    </row>
    <row r="2325" spans="28:29">
      <c r="AB2325" s="17"/>
      <c r="AC2325" s="17"/>
    </row>
    <row r="2326" spans="28:29">
      <c r="AB2326" s="17"/>
      <c r="AC2326" s="17"/>
    </row>
    <row r="2327" spans="28:29">
      <c r="AB2327" s="17"/>
      <c r="AC2327" s="17"/>
    </row>
    <row r="2328" spans="28:29">
      <c r="AB2328" s="17"/>
      <c r="AC2328" s="17"/>
    </row>
    <row r="2329" spans="28:29">
      <c r="AB2329" s="17"/>
      <c r="AC2329" s="17"/>
    </row>
    <row r="2330" spans="28:29">
      <c r="AB2330" s="17"/>
      <c r="AC2330" s="17"/>
    </row>
    <row r="2331" spans="28:29">
      <c r="AB2331" s="17"/>
      <c r="AC2331" s="17"/>
    </row>
    <row r="2332" spans="28:29">
      <c r="AB2332" s="17"/>
      <c r="AC2332" s="17"/>
    </row>
    <row r="2333" spans="28:29">
      <c r="AB2333" s="17"/>
      <c r="AC2333" s="17"/>
    </row>
    <row r="2334" spans="28:29">
      <c r="AB2334" s="17"/>
      <c r="AC2334" s="17"/>
    </row>
    <row r="2335" spans="28:29">
      <c r="AB2335" s="17"/>
      <c r="AC2335" s="17"/>
    </row>
    <row r="2336" spans="28:29">
      <c r="AB2336" s="17"/>
      <c r="AC2336" s="17"/>
    </row>
    <row r="2337" spans="28:29">
      <c r="AB2337" s="17"/>
      <c r="AC2337" s="17"/>
    </row>
    <row r="2338" spans="28:29">
      <c r="AB2338" s="17"/>
      <c r="AC2338" s="17"/>
    </row>
    <row r="2339" spans="28:29">
      <c r="AB2339" s="17"/>
      <c r="AC2339" s="17"/>
    </row>
    <row r="2340" spans="28:29">
      <c r="AB2340" s="17"/>
      <c r="AC2340" s="17"/>
    </row>
    <row r="2341" spans="28:29">
      <c r="AB2341" s="17"/>
      <c r="AC2341" s="17"/>
    </row>
    <row r="2342" spans="28:29">
      <c r="AB2342" s="17"/>
      <c r="AC2342" s="17"/>
    </row>
    <row r="2343" spans="28:29">
      <c r="AB2343" s="17"/>
      <c r="AC2343" s="17"/>
    </row>
    <row r="2344" spans="28:29">
      <c r="AB2344" s="17"/>
      <c r="AC2344" s="17"/>
    </row>
    <row r="2345" spans="28:29">
      <c r="AB2345" s="17"/>
      <c r="AC2345" s="17"/>
    </row>
    <row r="2346" spans="28:29">
      <c r="AB2346" s="17"/>
      <c r="AC2346" s="17"/>
    </row>
    <row r="2347" spans="28:29">
      <c r="AB2347" s="17"/>
      <c r="AC2347" s="17"/>
    </row>
    <row r="2348" spans="28:29">
      <c r="AB2348" s="17"/>
      <c r="AC2348" s="17"/>
    </row>
    <row r="2349" spans="28:29">
      <c r="AB2349" s="17"/>
      <c r="AC2349" s="17"/>
    </row>
    <row r="2350" spans="28:29">
      <c r="AB2350" s="17"/>
      <c r="AC2350" s="17"/>
    </row>
    <row r="2351" spans="28:29">
      <c r="AB2351" s="17"/>
      <c r="AC2351" s="17"/>
    </row>
    <row r="2352" spans="28:29">
      <c r="AB2352" s="17"/>
      <c r="AC2352" s="17"/>
    </row>
    <row r="2353" spans="28:29">
      <c r="AB2353" s="17"/>
      <c r="AC2353" s="17"/>
    </row>
    <row r="2354" spans="28:29">
      <c r="AB2354" s="17"/>
      <c r="AC2354" s="17"/>
    </row>
    <row r="2355" spans="28:29">
      <c r="AB2355" s="17"/>
      <c r="AC2355" s="17"/>
    </row>
    <row r="2356" spans="28:29">
      <c r="AB2356" s="17"/>
      <c r="AC2356" s="17"/>
    </row>
    <row r="2357" spans="28:29">
      <c r="AB2357" s="17"/>
      <c r="AC2357" s="17"/>
    </row>
    <row r="2358" spans="28:29">
      <c r="AB2358" s="17"/>
      <c r="AC2358" s="17"/>
    </row>
    <row r="2359" spans="28:29">
      <c r="AB2359" s="17"/>
      <c r="AC2359" s="17"/>
    </row>
    <row r="2360" spans="28:29">
      <c r="AB2360" s="17"/>
      <c r="AC2360" s="17"/>
    </row>
    <row r="2361" spans="28:29">
      <c r="AB2361" s="17"/>
      <c r="AC2361" s="17"/>
    </row>
    <row r="2362" spans="28:29">
      <c r="AB2362" s="17"/>
      <c r="AC2362" s="17"/>
    </row>
    <row r="2363" spans="28:29">
      <c r="AB2363" s="17"/>
      <c r="AC2363" s="17"/>
    </row>
    <row r="2364" spans="28:29">
      <c r="AB2364" s="17"/>
      <c r="AC2364" s="17"/>
    </row>
    <row r="2365" spans="28:29">
      <c r="AB2365" s="17"/>
      <c r="AC2365" s="17"/>
    </row>
    <row r="2366" spans="28:29">
      <c r="AB2366" s="17"/>
      <c r="AC2366" s="17"/>
    </row>
    <row r="2367" spans="28:29">
      <c r="AB2367" s="17"/>
      <c r="AC2367" s="17"/>
    </row>
    <row r="2368" spans="28:29">
      <c r="AB2368" s="17"/>
      <c r="AC2368" s="17"/>
    </row>
    <row r="2369" spans="28:29">
      <c r="AB2369" s="17"/>
      <c r="AC2369" s="17"/>
    </row>
    <row r="2370" spans="28:29">
      <c r="AB2370" s="17"/>
      <c r="AC2370" s="17"/>
    </row>
    <row r="2371" spans="28:29">
      <c r="AB2371" s="17"/>
      <c r="AC2371" s="17"/>
    </row>
    <row r="2372" spans="28:29">
      <c r="AB2372" s="17"/>
      <c r="AC2372" s="17"/>
    </row>
    <row r="2373" spans="28:29">
      <c r="AB2373" s="17"/>
      <c r="AC2373" s="17"/>
    </row>
    <row r="2374" spans="28:29">
      <c r="AB2374" s="17"/>
      <c r="AC2374" s="17"/>
    </row>
    <row r="2375" spans="28:29">
      <c r="AB2375" s="17"/>
      <c r="AC2375" s="17"/>
    </row>
    <row r="2376" spans="28:29">
      <c r="AB2376" s="17"/>
      <c r="AC2376" s="17"/>
    </row>
    <row r="2377" spans="28:29">
      <c r="AB2377" s="17"/>
      <c r="AC2377" s="17"/>
    </row>
    <row r="2378" spans="28:29">
      <c r="AB2378" s="17"/>
      <c r="AC2378" s="17"/>
    </row>
    <row r="2379" spans="28:29">
      <c r="AB2379" s="17"/>
      <c r="AC2379" s="17"/>
    </row>
    <row r="2380" spans="28:29">
      <c r="AB2380" s="17"/>
      <c r="AC2380" s="17"/>
    </row>
    <row r="2381" spans="28:29">
      <c r="AB2381" s="17"/>
      <c r="AC2381" s="17"/>
    </row>
    <row r="2382" spans="28:29">
      <c r="AB2382" s="17"/>
      <c r="AC2382" s="17"/>
    </row>
    <row r="2383" spans="28:29">
      <c r="AB2383" s="17"/>
      <c r="AC2383" s="17"/>
    </row>
    <row r="2384" spans="28:29">
      <c r="AB2384" s="17"/>
      <c r="AC2384" s="17"/>
    </row>
    <row r="2385" spans="28:29">
      <c r="AB2385" s="17"/>
      <c r="AC2385" s="17"/>
    </row>
    <row r="2386" spans="28:29">
      <c r="AB2386" s="17"/>
      <c r="AC2386" s="17"/>
    </row>
    <row r="2387" spans="28:29">
      <c r="AB2387" s="17"/>
      <c r="AC2387" s="17"/>
    </row>
    <row r="2388" spans="28:29">
      <c r="AB2388" s="17"/>
      <c r="AC2388" s="17"/>
    </row>
    <row r="2389" spans="28:29">
      <c r="AB2389" s="17"/>
      <c r="AC2389" s="17"/>
    </row>
    <row r="2390" spans="28:29">
      <c r="AB2390" s="17"/>
      <c r="AC2390" s="17"/>
    </row>
    <row r="2391" spans="28:29">
      <c r="AB2391" s="17"/>
      <c r="AC2391" s="17"/>
    </row>
    <row r="2392" spans="28:29">
      <c r="AB2392" s="17"/>
      <c r="AC2392" s="17"/>
    </row>
    <row r="2393" spans="28:29">
      <c r="AB2393" s="17"/>
      <c r="AC2393" s="17"/>
    </row>
    <row r="2394" spans="28:29">
      <c r="AB2394" s="17"/>
      <c r="AC2394" s="17"/>
    </row>
    <row r="2395" spans="28:29">
      <c r="AB2395" s="17"/>
      <c r="AC2395" s="17"/>
    </row>
    <row r="2396" spans="28:29">
      <c r="AB2396" s="17"/>
      <c r="AC2396" s="17"/>
    </row>
    <row r="2397" spans="28:29">
      <c r="AB2397" s="17"/>
      <c r="AC2397" s="17"/>
    </row>
    <row r="2398" spans="28:29">
      <c r="AB2398" s="17"/>
      <c r="AC2398" s="17"/>
    </row>
    <row r="2399" spans="28:29">
      <c r="AB2399" s="17"/>
      <c r="AC2399" s="17"/>
    </row>
    <row r="2400" spans="28:29">
      <c r="AB2400" s="17"/>
      <c r="AC2400" s="17"/>
    </row>
    <row r="2401" spans="28:29">
      <c r="AB2401" s="17"/>
      <c r="AC2401" s="17"/>
    </row>
    <row r="2402" spans="28:29">
      <c r="AB2402" s="17"/>
      <c r="AC2402" s="17"/>
    </row>
    <row r="2403" spans="28:29">
      <c r="AB2403" s="17"/>
      <c r="AC2403" s="17"/>
    </row>
    <row r="2404" spans="28:29">
      <c r="AB2404" s="17"/>
      <c r="AC2404" s="17"/>
    </row>
    <row r="2405" spans="28:29">
      <c r="AB2405" s="17"/>
      <c r="AC2405" s="17"/>
    </row>
    <row r="2406" spans="28:29">
      <c r="AB2406" s="17"/>
      <c r="AC2406" s="17"/>
    </row>
    <row r="2407" spans="28:29">
      <c r="AB2407" s="17"/>
      <c r="AC2407" s="17"/>
    </row>
    <row r="2408" spans="28:29">
      <c r="AB2408" s="17"/>
      <c r="AC2408" s="17"/>
    </row>
    <row r="2409" spans="28:29">
      <c r="AB2409" s="17"/>
      <c r="AC2409" s="17"/>
    </row>
    <row r="2410" spans="28:29">
      <c r="AB2410" s="17"/>
      <c r="AC2410" s="17"/>
    </row>
    <row r="2411" spans="28:29">
      <c r="AB2411" s="17"/>
      <c r="AC2411" s="17"/>
    </row>
    <row r="2412" spans="28:29">
      <c r="AB2412" s="17"/>
      <c r="AC2412" s="17"/>
    </row>
    <row r="2413" spans="28:29">
      <c r="AB2413" s="17"/>
      <c r="AC2413" s="17"/>
    </row>
    <row r="2414" spans="28:29">
      <c r="AB2414" s="17"/>
      <c r="AC2414" s="17"/>
    </row>
    <row r="2415" spans="28:29">
      <c r="AB2415" s="17"/>
      <c r="AC2415" s="17"/>
    </row>
    <row r="2416" spans="28:29">
      <c r="AB2416" s="17"/>
      <c r="AC2416" s="17"/>
    </row>
    <row r="2417" spans="28:29">
      <c r="AB2417" s="17"/>
      <c r="AC2417" s="17"/>
    </row>
    <row r="2418" spans="28:29">
      <c r="AB2418" s="17"/>
      <c r="AC2418" s="17"/>
    </row>
    <row r="2419" spans="28:29">
      <c r="AB2419" s="17"/>
      <c r="AC2419" s="17"/>
    </row>
    <row r="2420" spans="28:29">
      <c r="AB2420" s="17"/>
      <c r="AC2420" s="17"/>
    </row>
    <row r="2421" spans="28:29">
      <c r="AB2421" s="17"/>
      <c r="AC2421" s="17"/>
    </row>
    <row r="2422" spans="28:29">
      <c r="AB2422" s="17"/>
      <c r="AC2422" s="17"/>
    </row>
    <row r="2423" spans="28:29">
      <c r="AB2423" s="17"/>
      <c r="AC2423" s="17"/>
    </row>
    <row r="2424" spans="28:29">
      <c r="AB2424" s="17"/>
      <c r="AC2424" s="17"/>
    </row>
    <row r="2425" spans="28:29">
      <c r="AB2425" s="17"/>
      <c r="AC2425" s="17"/>
    </row>
    <row r="2426" spans="28:29">
      <c r="AB2426" s="17"/>
      <c r="AC2426" s="17"/>
    </row>
    <row r="2427" spans="28:29">
      <c r="AB2427" s="17"/>
      <c r="AC2427" s="17"/>
    </row>
    <row r="2428" spans="28:29">
      <c r="AB2428" s="17"/>
      <c r="AC2428" s="17"/>
    </row>
    <row r="2429" spans="28:29">
      <c r="AB2429" s="17"/>
      <c r="AC2429" s="17"/>
    </row>
    <row r="2430" spans="28:29">
      <c r="AB2430" s="17"/>
      <c r="AC2430" s="17"/>
    </row>
    <row r="2431" spans="28:29">
      <c r="AB2431" s="17"/>
      <c r="AC2431" s="17"/>
    </row>
    <row r="2432" spans="28:29">
      <c r="AB2432" s="17"/>
      <c r="AC2432" s="17"/>
    </row>
    <row r="2433" spans="28:29">
      <c r="AB2433" s="17"/>
      <c r="AC2433" s="17"/>
    </row>
    <row r="2434" spans="28:29">
      <c r="AB2434" s="17"/>
      <c r="AC2434" s="17"/>
    </row>
    <row r="2435" spans="28:29">
      <c r="AB2435" s="17"/>
      <c r="AC2435" s="17"/>
    </row>
    <row r="2436" spans="28:29">
      <c r="AB2436" s="17"/>
      <c r="AC2436" s="17"/>
    </row>
    <row r="2437" spans="28:29">
      <c r="AB2437" s="17"/>
      <c r="AC2437" s="17"/>
    </row>
    <row r="2438" spans="28:29">
      <c r="AB2438" s="17"/>
      <c r="AC2438" s="17"/>
    </row>
    <row r="2439" spans="28:29">
      <c r="AB2439" s="17"/>
      <c r="AC2439" s="17"/>
    </row>
    <row r="2440" spans="28:29">
      <c r="AB2440" s="17"/>
      <c r="AC2440" s="17"/>
    </row>
    <row r="2441" spans="28:29">
      <c r="AB2441" s="17"/>
      <c r="AC2441" s="17"/>
    </row>
    <row r="2442" spans="28:29">
      <c r="AB2442" s="17"/>
      <c r="AC2442" s="17"/>
    </row>
    <row r="2443" spans="28:29">
      <c r="AB2443" s="17"/>
      <c r="AC2443" s="17"/>
    </row>
    <row r="2444" spans="28:29">
      <c r="AB2444" s="17"/>
      <c r="AC2444" s="17"/>
    </row>
    <row r="2445" spans="28:29">
      <c r="AB2445" s="17"/>
      <c r="AC2445" s="17"/>
    </row>
    <row r="2446" spans="28:29">
      <c r="AB2446" s="17"/>
      <c r="AC2446" s="17"/>
    </row>
    <row r="2447" spans="28:29">
      <c r="AB2447" s="17"/>
      <c r="AC2447" s="17"/>
    </row>
    <row r="2448" spans="28:29">
      <c r="AB2448" s="17"/>
      <c r="AC2448" s="17"/>
    </row>
    <row r="2449" spans="28:29">
      <c r="AB2449" s="17"/>
      <c r="AC2449" s="17"/>
    </row>
    <row r="2450" spans="28:29">
      <c r="AB2450" s="17"/>
      <c r="AC2450" s="17"/>
    </row>
    <row r="2451" spans="28:29">
      <c r="AB2451" s="17"/>
      <c r="AC2451" s="17"/>
    </row>
    <row r="2452" spans="28:29">
      <c r="AB2452" s="17"/>
      <c r="AC2452" s="17"/>
    </row>
    <row r="2453" spans="28:29">
      <c r="AB2453" s="17"/>
      <c r="AC2453" s="17"/>
    </row>
    <row r="2454" spans="28:29">
      <c r="AB2454" s="17"/>
      <c r="AC2454" s="17"/>
    </row>
    <row r="2455" spans="28:29">
      <c r="AB2455" s="17"/>
      <c r="AC2455" s="17"/>
    </row>
    <row r="2456" spans="28:29">
      <c r="AB2456" s="17"/>
      <c r="AC2456" s="17"/>
    </row>
    <row r="2457" spans="28:29">
      <c r="AB2457" s="17"/>
      <c r="AC2457" s="17"/>
    </row>
    <row r="2458" spans="28:29">
      <c r="AB2458" s="17"/>
      <c r="AC2458" s="17"/>
    </row>
    <row r="2459" spans="28:29">
      <c r="AB2459" s="17"/>
      <c r="AC2459" s="17"/>
    </row>
    <row r="2460" spans="28:29">
      <c r="AB2460" s="17"/>
      <c r="AC2460" s="17"/>
    </row>
    <row r="2461" spans="28:29">
      <c r="AB2461" s="17"/>
      <c r="AC2461" s="17"/>
    </row>
    <row r="2462" spans="28:29">
      <c r="AB2462" s="17"/>
      <c r="AC2462" s="17"/>
    </row>
    <row r="2463" spans="28:29">
      <c r="AB2463" s="17"/>
      <c r="AC2463" s="17"/>
    </row>
    <row r="2464" spans="28:29">
      <c r="AB2464" s="17"/>
      <c r="AC2464" s="17"/>
    </row>
    <row r="2465" spans="28:29">
      <c r="AB2465" s="17"/>
      <c r="AC2465" s="17"/>
    </row>
    <row r="2466" spans="28:29">
      <c r="AB2466" s="17"/>
      <c r="AC2466" s="17"/>
    </row>
    <row r="2467" spans="28:29">
      <c r="AB2467" s="17"/>
      <c r="AC2467" s="17"/>
    </row>
    <row r="2468" spans="28:29">
      <c r="AB2468" s="17"/>
      <c r="AC2468" s="17"/>
    </row>
    <row r="2469" spans="28:29">
      <c r="AB2469" s="17"/>
      <c r="AC2469" s="17"/>
    </row>
    <row r="2470" spans="28:29">
      <c r="AB2470" s="17"/>
      <c r="AC2470" s="17"/>
    </row>
    <row r="2471" spans="28:29">
      <c r="AB2471" s="17"/>
      <c r="AC2471" s="17"/>
    </row>
    <row r="2472" spans="28:29">
      <c r="AB2472" s="17"/>
      <c r="AC2472" s="17"/>
    </row>
    <row r="2473" spans="28:29">
      <c r="AB2473" s="17"/>
      <c r="AC2473" s="17"/>
    </row>
    <row r="2474" spans="28:29">
      <c r="AB2474" s="17"/>
      <c r="AC2474" s="17"/>
    </row>
    <row r="2475" spans="28:29">
      <c r="AB2475" s="17"/>
      <c r="AC2475" s="17"/>
    </row>
    <row r="2476" spans="28:29">
      <c r="AB2476" s="17"/>
      <c r="AC2476" s="17"/>
    </row>
    <row r="2477" spans="28:29">
      <c r="AB2477" s="17"/>
      <c r="AC2477" s="17"/>
    </row>
    <row r="2478" spans="28:29">
      <c r="AB2478" s="17"/>
      <c r="AC2478" s="17"/>
    </row>
    <row r="2479" spans="28:29">
      <c r="AB2479" s="17"/>
      <c r="AC2479" s="17"/>
    </row>
    <row r="2480" spans="28:29">
      <c r="AB2480" s="17"/>
      <c r="AC2480" s="17"/>
    </row>
    <row r="2481" spans="28:29">
      <c r="AB2481" s="17"/>
      <c r="AC2481" s="17"/>
    </row>
    <row r="2482" spans="28:29">
      <c r="AB2482" s="17"/>
      <c r="AC2482" s="17"/>
    </row>
    <row r="2483" spans="28:29">
      <c r="AB2483" s="17"/>
      <c r="AC2483" s="17"/>
    </row>
    <row r="2484" spans="28:29">
      <c r="AB2484" s="17"/>
      <c r="AC2484" s="17"/>
    </row>
    <row r="2485" spans="28:29">
      <c r="AB2485" s="17"/>
      <c r="AC2485" s="17"/>
    </row>
    <row r="2486" spans="28:29">
      <c r="AB2486" s="17"/>
      <c r="AC2486" s="17"/>
    </row>
    <row r="2487" spans="28:29">
      <c r="AB2487" s="17"/>
      <c r="AC2487" s="17"/>
    </row>
    <row r="2488" spans="28:29">
      <c r="AB2488" s="17"/>
      <c r="AC2488" s="17"/>
    </row>
    <row r="2489" spans="28:29">
      <c r="AB2489" s="17"/>
      <c r="AC2489" s="17"/>
    </row>
    <row r="2490" spans="28:29">
      <c r="AB2490" s="17"/>
      <c r="AC2490" s="17"/>
    </row>
    <row r="2491" spans="28:29">
      <c r="AB2491" s="17"/>
      <c r="AC2491" s="17"/>
    </row>
    <row r="2492" spans="28:29">
      <c r="AB2492" s="17"/>
      <c r="AC2492" s="17"/>
    </row>
    <row r="2493" spans="28:29">
      <c r="AB2493" s="17"/>
      <c r="AC2493" s="17"/>
    </row>
    <row r="2494" spans="28:29">
      <c r="AB2494" s="17"/>
      <c r="AC2494" s="17"/>
    </row>
    <row r="2495" spans="28:29">
      <c r="AB2495" s="17"/>
      <c r="AC2495" s="17"/>
    </row>
    <row r="2496" spans="28:29">
      <c r="AB2496" s="17"/>
      <c r="AC2496" s="17"/>
    </row>
    <row r="2497" spans="28:29">
      <c r="AB2497" s="17"/>
      <c r="AC2497" s="17"/>
    </row>
    <row r="2498" spans="28:29">
      <c r="AB2498" s="17"/>
      <c r="AC2498" s="17"/>
    </row>
    <row r="2499" spans="28:29">
      <c r="AB2499" s="17"/>
      <c r="AC2499" s="17"/>
    </row>
    <row r="2500" spans="28:29">
      <c r="AB2500" s="17"/>
      <c r="AC2500" s="17"/>
    </row>
    <row r="2501" spans="28:29">
      <c r="AB2501" s="17"/>
      <c r="AC2501" s="17"/>
    </row>
    <row r="2502" spans="28:29">
      <c r="AB2502" s="17"/>
      <c r="AC2502" s="17"/>
    </row>
    <row r="2503" spans="28:29">
      <c r="AB2503" s="17"/>
      <c r="AC2503" s="17"/>
    </row>
    <row r="2504" spans="28:29">
      <c r="AB2504" s="17"/>
      <c r="AC2504" s="17"/>
    </row>
    <row r="2505" spans="28:29">
      <c r="AB2505" s="17"/>
      <c r="AC2505" s="17"/>
    </row>
    <row r="2506" spans="28:29">
      <c r="AB2506" s="17"/>
      <c r="AC2506" s="17"/>
    </row>
    <row r="2507" spans="28:29">
      <c r="AB2507" s="17"/>
      <c r="AC2507" s="17"/>
    </row>
    <row r="2508" spans="28:29">
      <c r="AB2508" s="17"/>
      <c r="AC2508" s="17"/>
    </row>
    <row r="2509" spans="28:29">
      <c r="AB2509" s="17"/>
      <c r="AC2509" s="17"/>
    </row>
    <row r="2510" spans="28:29">
      <c r="AB2510" s="17"/>
      <c r="AC2510" s="17"/>
    </row>
    <row r="2511" spans="28:29">
      <c r="AB2511" s="17"/>
      <c r="AC2511" s="17"/>
    </row>
    <row r="2512" spans="28:29">
      <c r="AB2512" s="17"/>
      <c r="AC2512" s="17"/>
    </row>
    <row r="2513" spans="28:29">
      <c r="AB2513" s="17"/>
      <c r="AC2513" s="17"/>
    </row>
    <row r="2514" spans="28:29">
      <c r="AB2514" s="17"/>
      <c r="AC2514" s="17"/>
    </row>
    <row r="2515" spans="28:29">
      <c r="AB2515" s="17"/>
      <c r="AC2515" s="17"/>
    </row>
    <row r="2516" spans="28:29">
      <c r="AB2516" s="17"/>
      <c r="AC2516" s="17"/>
    </row>
    <row r="2517" spans="28:29">
      <c r="AB2517" s="17"/>
      <c r="AC2517" s="17"/>
    </row>
    <row r="2518" spans="28:29">
      <c r="AB2518" s="17"/>
      <c r="AC2518" s="17"/>
    </row>
    <row r="2519" spans="28:29">
      <c r="AB2519" s="17"/>
      <c r="AC2519" s="17"/>
    </row>
    <row r="2520" spans="28:29">
      <c r="AB2520" s="17"/>
      <c r="AC2520" s="17"/>
    </row>
    <row r="2521" spans="28:29">
      <c r="AB2521" s="17"/>
      <c r="AC2521" s="17"/>
    </row>
    <row r="2522" spans="28:29">
      <c r="AB2522" s="17"/>
      <c r="AC2522" s="17"/>
    </row>
    <row r="2523" spans="28:29">
      <c r="AB2523" s="17"/>
      <c r="AC2523" s="17"/>
    </row>
    <row r="2524" spans="28:29">
      <c r="AB2524" s="17"/>
      <c r="AC2524" s="17"/>
    </row>
    <row r="2525" spans="28:29">
      <c r="AB2525" s="17"/>
      <c r="AC2525" s="17"/>
    </row>
    <row r="2526" spans="28:29">
      <c r="AB2526" s="17"/>
      <c r="AC2526" s="17"/>
    </row>
    <row r="2527" spans="28:29">
      <c r="AB2527" s="17"/>
      <c r="AC2527" s="17"/>
    </row>
    <row r="2528" spans="28:29">
      <c r="AB2528" s="17"/>
      <c r="AC2528" s="17"/>
    </row>
    <row r="2529" spans="28:29">
      <c r="AB2529" s="17"/>
      <c r="AC2529" s="17"/>
    </row>
    <row r="2530" spans="28:29">
      <c r="AB2530" s="17"/>
      <c r="AC2530" s="17"/>
    </row>
    <row r="2531" spans="28:29">
      <c r="AB2531" s="17"/>
      <c r="AC2531" s="17"/>
    </row>
    <row r="2532" spans="28:29">
      <c r="AB2532" s="17"/>
      <c r="AC2532" s="17"/>
    </row>
    <row r="2533" spans="28:29">
      <c r="AB2533" s="17"/>
      <c r="AC2533" s="17"/>
    </row>
    <row r="2534" spans="28:29">
      <c r="AB2534" s="17"/>
      <c r="AC2534" s="17"/>
    </row>
    <row r="2535" spans="28:29">
      <c r="AB2535" s="17"/>
      <c r="AC2535" s="17"/>
    </row>
    <row r="2536" spans="28:29">
      <c r="AB2536" s="17"/>
      <c r="AC2536" s="17"/>
    </row>
    <row r="2537" spans="28:29">
      <c r="AB2537" s="17"/>
      <c r="AC2537" s="17"/>
    </row>
    <row r="2538" spans="28:29">
      <c r="AB2538" s="17"/>
      <c r="AC2538" s="17"/>
    </row>
    <row r="2539" spans="28:29">
      <c r="AB2539" s="17"/>
      <c r="AC2539" s="17"/>
    </row>
    <row r="2540" spans="28:29">
      <c r="AB2540" s="17"/>
      <c r="AC2540" s="17"/>
    </row>
    <row r="2541" spans="28:29">
      <c r="AB2541" s="17"/>
      <c r="AC2541" s="17"/>
    </row>
    <row r="2542" spans="28:29">
      <c r="AB2542" s="17"/>
      <c r="AC2542" s="17"/>
    </row>
    <row r="2543" spans="28:29">
      <c r="AB2543" s="17"/>
      <c r="AC2543" s="17"/>
    </row>
    <row r="2544" spans="28:29">
      <c r="AB2544" s="17"/>
      <c r="AC2544" s="17"/>
    </row>
    <row r="2545" spans="28:29">
      <c r="AB2545" s="17"/>
      <c r="AC2545" s="17"/>
    </row>
    <row r="2546" spans="28:29">
      <c r="AB2546" s="17"/>
      <c r="AC2546" s="17"/>
    </row>
    <row r="2547" spans="28:29">
      <c r="AB2547" s="17"/>
      <c r="AC2547" s="17"/>
    </row>
    <row r="2548" spans="28:29">
      <c r="AB2548" s="17"/>
      <c r="AC2548" s="17"/>
    </row>
    <row r="2549" spans="28:29">
      <c r="AB2549" s="17"/>
      <c r="AC2549" s="17"/>
    </row>
    <row r="2550" spans="28:29">
      <c r="AB2550" s="17"/>
      <c r="AC2550" s="17"/>
    </row>
    <row r="2551" spans="28:29">
      <c r="AB2551" s="17"/>
      <c r="AC2551" s="17"/>
    </row>
    <row r="2552" spans="28:29">
      <c r="AB2552" s="17"/>
      <c r="AC2552" s="17"/>
    </row>
    <row r="2553" spans="28:29">
      <c r="AB2553" s="17"/>
      <c r="AC2553" s="17"/>
    </row>
    <row r="2554" spans="28:29">
      <c r="AB2554" s="17"/>
      <c r="AC2554" s="17"/>
    </row>
    <row r="2555" spans="28:29">
      <c r="AB2555" s="17"/>
      <c r="AC2555" s="17"/>
    </row>
    <row r="2556" spans="28:29">
      <c r="AB2556" s="17"/>
      <c r="AC2556" s="17"/>
    </row>
    <row r="2557" spans="28:29">
      <c r="AB2557" s="17"/>
      <c r="AC2557" s="17"/>
    </row>
    <row r="2558" spans="28:29">
      <c r="AB2558" s="17"/>
      <c r="AC2558" s="17"/>
    </row>
    <row r="2559" spans="28:29">
      <c r="AB2559" s="17"/>
      <c r="AC2559" s="17"/>
    </row>
    <row r="2560" spans="28:29">
      <c r="AB2560" s="17"/>
      <c r="AC2560" s="17"/>
    </row>
    <row r="2561" spans="28:29">
      <c r="AB2561" s="17"/>
      <c r="AC2561" s="17"/>
    </row>
    <row r="2562" spans="28:29">
      <c r="AB2562" s="17"/>
      <c r="AC2562" s="17"/>
    </row>
    <row r="2563" spans="28:29">
      <c r="AB2563" s="17"/>
      <c r="AC2563" s="17"/>
    </row>
    <row r="2564" spans="28:29">
      <c r="AB2564" s="17"/>
      <c r="AC2564" s="17"/>
    </row>
    <row r="2565" spans="28:29">
      <c r="AB2565" s="17"/>
      <c r="AC2565" s="17"/>
    </row>
    <row r="2566" spans="28:29">
      <c r="AB2566" s="17"/>
      <c r="AC2566" s="17"/>
    </row>
    <row r="2567" spans="28:29">
      <c r="AB2567" s="17"/>
      <c r="AC2567" s="17"/>
    </row>
    <row r="2568" spans="28:29">
      <c r="AB2568" s="17"/>
      <c r="AC2568" s="17"/>
    </row>
    <row r="2569" spans="28:29">
      <c r="AB2569" s="17"/>
      <c r="AC2569" s="17"/>
    </row>
    <row r="2570" spans="28:29">
      <c r="AB2570" s="17"/>
      <c r="AC2570" s="17"/>
    </row>
    <row r="2571" spans="28:29">
      <c r="AB2571" s="17"/>
      <c r="AC2571" s="17"/>
    </row>
    <row r="2572" spans="28:29">
      <c r="AB2572" s="17"/>
      <c r="AC2572" s="17"/>
    </row>
    <row r="2573" spans="28:29">
      <c r="AB2573" s="17"/>
      <c r="AC2573" s="17"/>
    </row>
    <row r="2574" spans="28:29">
      <c r="AB2574" s="17"/>
      <c r="AC2574" s="17"/>
    </row>
    <row r="2575" spans="28:29">
      <c r="AB2575" s="17"/>
      <c r="AC2575" s="17"/>
    </row>
    <row r="2576" spans="28:29">
      <c r="AB2576" s="17"/>
      <c r="AC2576" s="17"/>
    </row>
    <row r="2577" spans="28:29">
      <c r="AB2577" s="17"/>
      <c r="AC2577" s="17"/>
    </row>
    <row r="2578" spans="28:29">
      <c r="AB2578" s="17"/>
      <c r="AC2578" s="17"/>
    </row>
    <row r="2579" spans="28:29">
      <c r="AB2579" s="17"/>
      <c r="AC2579" s="17"/>
    </row>
    <row r="2580" spans="28:29">
      <c r="AB2580" s="17"/>
      <c r="AC2580" s="17"/>
    </row>
    <row r="2581" spans="28:29">
      <c r="AB2581" s="17"/>
      <c r="AC2581" s="17"/>
    </row>
    <row r="2582" spans="28:29">
      <c r="AB2582" s="17"/>
      <c r="AC2582" s="17"/>
    </row>
    <row r="2583" spans="28:29">
      <c r="AB2583" s="17"/>
      <c r="AC2583" s="17"/>
    </row>
    <row r="2584" spans="28:29">
      <c r="AB2584" s="17"/>
      <c r="AC2584" s="17"/>
    </row>
    <row r="2585" spans="28:29">
      <c r="AB2585" s="17"/>
      <c r="AC2585" s="17"/>
    </row>
    <row r="2586" spans="28:29">
      <c r="AB2586" s="17"/>
      <c r="AC2586" s="17"/>
    </row>
    <row r="2587" spans="28:29">
      <c r="AB2587" s="17"/>
      <c r="AC2587" s="17"/>
    </row>
    <row r="2588" spans="28:29">
      <c r="AB2588" s="17"/>
      <c r="AC2588" s="17"/>
    </row>
    <row r="2589" spans="28:29">
      <c r="AB2589" s="17"/>
      <c r="AC2589" s="17"/>
    </row>
    <row r="2590" spans="28:29">
      <c r="AB2590" s="17"/>
      <c r="AC2590" s="17"/>
    </row>
    <row r="2591" spans="28:29">
      <c r="AB2591" s="17"/>
      <c r="AC2591" s="17"/>
    </row>
    <row r="2592" spans="28:29">
      <c r="AB2592" s="17"/>
      <c r="AC2592" s="17"/>
    </row>
    <row r="2593" spans="28:29">
      <c r="AB2593" s="17"/>
      <c r="AC2593" s="17"/>
    </row>
    <row r="2594" spans="28:29">
      <c r="AB2594" s="17"/>
      <c r="AC2594" s="17"/>
    </row>
    <row r="2595" spans="28:29">
      <c r="AB2595" s="17"/>
      <c r="AC2595" s="17"/>
    </row>
    <row r="2596" spans="28:29">
      <c r="AB2596" s="17"/>
      <c r="AC2596" s="17"/>
    </row>
    <row r="2597" spans="28:29">
      <c r="AB2597" s="17"/>
      <c r="AC2597" s="17"/>
    </row>
    <row r="2598" spans="28:29">
      <c r="AB2598" s="17"/>
      <c r="AC2598" s="17"/>
    </row>
    <row r="2599" spans="28:29">
      <c r="AB2599" s="17"/>
      <c r="AC2599" s="17"/>
    </row>
    <row r="2600" spans="28:29">
      <c r="AB2600" s="17"/>
      <c r="AC2600" s="17"/>
    </row>
    <row r="2601" spans="28:29">
      <c r="AB2601" s="17"/>
      <c r="AC2601" s="17"/>
    </row>
    <row r="2602" spans="28:29">
      <c r="AB2602" s="17"/>
      <c r="AC2602" s="17"/>
    </row>
    <row r="2603" spans="28:29">
      <c r="AB2603" s="17"/>
      <c r="AC2603" s="17"/>
    </row>
    <row r="2604" spans="28:29">
      <c r="AB2604" s="17"/>
      <c r="AC2604" s="17"/>
    </row>
    <row r="2605" spans="28:29">
      <c r="AB2605" s="17"/>
      <c r="AC2605" s="17"/>
    </row>
    <row r="2606" spans="28:29">
      <c r="AB2606" s="17"/>
      <c r="AC2606" s="17"/>
    </row>
    <row r="2607" spans="28:29">
      <c r="AB2607" s="17"/>
      <c r="AC2607" s="17"/>
    </row>
    <row r="2608" spans="28:29">
      <c r="AB2608" s="17"/>
      <c r="AC2608" s="17"/>
    </row>
    <row r="2609" spans="28:29">
      <c r="AB2609" s="17"/>
      <c r="AC2609" s="17"/>
    </row>
    <row r="2610" spans="28:29">
      <c r="AB2610" s="17"/>
      <c r="AC2610" s="17"/>
    </row>
    <row r="2611" spans="28:29">
      <c r="AB2611" s="17"/>
      <c r="AC2611" s="17"/>
    </row>
    <row r="2612" spans="28:29">
      <c r="AB2612" s="17"/>
      <c r="AC2612" s="17"/>
    </row>
    <row r="2613" spans="28:29">
      <c r="AB2613" s="17"/>
      <c r="AC2613" s="17"/>
    </row>
    <row r="2614" spans="28:29">
      <c r="AB2614" s="17"/>
      <c r="AC2614" s="17"/>
    </row>
    <row r="2615" spans="28:29">
      <c r="AB2615" s="17"/>
      <c r="AC2615" s="17"/>
    </row>
    <row r="2616" spans="28:29">
      <c r="AB2616" s="17"/>
      <c r="AC2616" s="17"/>
    </row>
    <row r="2617" spans="28:29">
      <c r="AB2617" s="17"/>
      <c r="AC2617" s="17"/>
    </row>
    <row r="2618" spans="28:29">
      <c r="AB2618" s="17"/>
      <c r="AC2618" s="17"/>
    </row>
    <row r="2619" spans="28:29">
      <c r="AB2619" s="17"/>
      <c r="AC2619" s="17"/>
    </row>
    <row r="2620" spans="28:29">
      <c r="AB2620" s="17"/>
      <c r="AC2620" s="17"/>
    </row>
    <row r="2621" spans="28:29">
      <c r="AB2621" s="17"/>
      <c r="AC2621" s="17"/>
    </row>
    <row r="2622" spans="28:29">
      <c r="AB2622" s="17"/>
      <c r="AC2622" s="17"/>
    </row>
    <row r="2623" spans="28:29">
      <c r="AB2623" s="17"/>
      <c r="AC2623" s="17"/>
    </row>
    <row r="2624" spans="28:29">
      <c r="AB2624" s="17"/>
      <c r="AC2624" s="17"/>
    </row>
    <row r="2625" spans="28:29">
      <c r="AB2625" s="17"/>
      <c r="AC2625" s="17"/>
    </row>
    <row r="2626" spans="28:29">
      <c r="AB2626" s="17"/>
      <c r="AC2626" s="17"/>
    </row>
    <row r="2627" spans="28:29">
      <c r="AB2627" s="17"/>
      <c r="AC2627" s="17"/>
    </row>
    <row r="2628" spans="28:29">
      <c r="AB2628" s="17"/>
      <c r="AC2628" s="17"/>
    </row>
    <row r="2629" spans="28:29">
      <c r="AB2629" s="17"/>
      <c r="AC2629" s="17"/>
    </row>
    <row r="2630" spans="28:29">
      <c r="AB2630" s="17"/>
      <c r="AC2630" s="17"/>
    </row>
    <row r="2631" spans="28:29">
      <c r="AB2631" s="17"/>
      <c r="AC2631" s="17"/>
    </row>
    <row r="2632" spans="28:29">
      <c r="AB2632" s="17"/>
      <c r="AC2632" s="17"/>
    </row>
    <row r="2633" spans="28:29">
      <c r="AB2633" s="17"/>
      <c r="AC2633" s="17"/>
    </row>
    <row r="2634" spans="28:29">
      <c r="AB2634" s="17"/>
      <c r="AC2634" s="17"/>
    </row>
    <row r="2635" spans="28:29">
      <c r="AB2635" s="17"/>
      <c r="AC2635" s="17"/>
    </row>
    <row r="2636" spans="28:29">
      <c r="AB2636" s="17"/>
      <c r="AC2636" s="17"/>
    </row>
    <row r="2637" spans="28:29">
      <c r="AB2637" s="17"/>
      <c r="AC2637" s="17"/>
    </row>
    <row r="2638" spans="28:29">
      <c r="AB2638" s="17"/>
      <c r="AC2638" s="17"/>
    </row>
    <row r="2639" spans="28:29">
      <c r="AB2639" s="17"/>
      <c r="AC2639" s="17"/>
    </row>
    <row r="2640" spans="28:29">
      <c r="AB2640" s="17"/>
      <c r="AC2640" s="17"/>
    </row>
    <row r="2641" spans="28:29">
      <c r="AB2641" s="17"/>
      <c r="AC2641" s="17"/>
    </row>
    <row r="2642" spans="28:29">
      <c r="AB2642" s="17"/>
      <c r="AC2642" s="17"/>
    </row>
    <row r="2643" spans="28:29">
      <c r="AB2643" s="17"/>
      <c r="AC2643" s="17"/>
    </row>
    <row r="2644" spans="28:29">
      <c r="AB2644" s="17"/>
      <c r="AC2644" s="17"/>
    </row>
    <row r="2645" spans="28:29">
      <c r="AB2645" s="17"/>
      <c r="AC2645" s="17"/>
    </row>
    <row r="2646" spans="28:29">
      <c r="AB2646" s="17"/>
      <c r="AC2646" s="17"/>
    </row>
    <row r="2647" spans="28:29">
      <c r="AB2647" s="17"/>
      <c r="AC2647" s="17"/>
    </row>
    <row r="2648" spans="28:29">
      <c r="AB2648" s="17"/>
      <c r="AC2648" s="17"/>
    </row>
    <row r="2649" spans="28:29">
      <c r="AB2649" s="17"/>
      <c r="AC2649" s="17"/>
    </row>
    <row r="2650" spans="28:29">
      <c r="AB2650" s="17"/>
      <c r="AC2650" s="17"/>
    </row>
    <row r="2651" spans="28:29">
      <c r="AB2651" s="17"/>
      <c r="AC2651" s="17"/>
    </row>
    <row r="2652" spans="28:29">
      <c r="AB2652" s="17"/>
      <c r="AC2652" s="17"/>
    </row>
    <row r="2653" spans="28:29">
      <c r="AB2653" s="17"/>
      <c r="AC2653" s="17"/>
    </row>
    <row r="2654" spans="28:29">
      <c r="AB2654" s="17"/>
      <c r="AC2654" s="17"/>
    </row>
    <row r="2655" spans="28:29">
      <c r="AB2655" s="17"/>
      <c r="AC2655" s="17"/>
    </row>
    <row r="2656" spans="28:29">
      <c r="AB2656" s="17"/>
      <c r="AC2656" s="17"/>
    </row>
    <row r="2657" spans="28:29">
      <c r="AB2657" s="17"/>
      <c r="AC2657" s="17"/>
    </row>
    <row r="2658" spans="28:29">
      <c r="AB2658" s="17"/>
      <c r="AC2658" s="17"/>
    </row>
    <row r="2659" spans="28:29">
      <c r="AB2659" s="17"/>
      <c r="AC2659" s="17"/>
    </row>
    <row r="2660" spans="28:29">
      <c r="AB2660" s="17"/>
      <c r="AC2660" s="17"/>
    </row>
    <row r="2661" spans="28:29">
      <c r="AB2661" s="17"/>
      <c r="AC2661" s="17"/>
    </row>
    <row r="2662" spans="28:29">
      <c r="AB2662" s="17"/>
      <c r="AC2662" s="17"/>
    </row>
    <row r="2663" spans="28:29">
      <c r="AB2663" s="17"/>
      <c r="AC2663" s="17"/>
    </row>
    <row r="2664" spans="28:29">
      <c r="AB2664" s="17"/>
      <c r="AC2664" s="17"/>
    </row>
    <row r="2665" spans="28:29">
      <c r="AB2665" s="17"/>
      <c r="AC2665" s="17"/>
    </row>
    <row r="2666" spans="28:29">
      <c r="AB2666" s="17"/>
      <c r="AC2666" s="17"/>
    </row>
    <row r="2667" spans="28:29">
      <c r="AB2667" s="17"/>
      <c r="AC2667" s="17"/>
    </row>
    <row r="2668" spans="28:29">
      <c r="AB2668" s="17"/>
      <c r="AC2668" s="17"/>
    </row>
    <row r="2669" spans="28:29">
      <c r="AB2669" s="17"/>
      <c r="AC2669" s="17"/>
    </row>
    <row r="2670" spans="28:29">
      <c r="AB2670" s="17"/>
      <c r="AC2670" s="17"/>
    </row>
    <row r="2671" spans="28:29">
      <c r="AB2671" s="17"/>
      <c r="AC2671" s="17"/>
    </row>
    <row r="2672" spans="28:29">
      <c r="AB2672" s="17"/>
      <c r="AC2672" s="17"/>
    </row>
    <row r="2673" spans="28:29">
      <c r="AB2673" s="17"/>
      <c r="AC2673" s="17"/>
    </row>
    <row r="2674" spans="28:29">
      <c r="AB2674" s="17"/>
      <c r="AC2674" s="17"/>
    </row>
    <row r="2675" spans="28:29">
      <c r="AB2675" s="17"/>
      <c r="AC2675" s="17"/>
    </row>
    <row r="2676" spans="28:29">
      <c r="AB2676" s="17"/>
      <c r="AC2676" s="17"/>
    </row>
    <row r="2677" spans="28:29">
      <c r="AB2677" s="17"/>
      <c r="AC2677" s="17"/>
    </row>
    <row r="2678" spans="28:29">
      <c r="AB2678" s="17"/>
      <c r="AC2678" s="17"/>
    </row>
    <row r="2679" spans="28:29">
      <c r="AB2679" s="17"/>
      <c r="AC2679" s="17"/>
    </row>
    <row r="2680" spans="28:29">
      <c r="AB2680" s="17"/>
      <c r="AC2680" s="17"/>
    </row>
    <row r="2681" spans="28:29">
      <c r="AB2681" s="17"/>
      <c r="AC2681" s="17"/>
    </row>
    <row r="2682" spans="28:29">
      <c r="AB2682" s="17"/>
      <c r="AC2682" s="17"/>
    </row>
    <row r="2683" spans="28:29">
      <c r="AB2683" s="17"/>
      <c r="AC2683" s="17"/>
    </row>
    <row r="2684" spans="28:29">
      <c r="AB2684" s="17"/>
      <c r="AC2684" s="17"/>
    </row>
    <row r="2685" spans="28:29">
      <c r="AB2685" s="17"/>
      <c r="AC2685" s="17"/>
    </row>
    <row r="2686" spans="28:29">
      <c r="AB2686" s="17"/>
      <c r="AC2686" s="17"/>
    </row>
    <row r="2687" spans="28:29">
      <c r="AB2687" s="17"/>
      <c r="AC2687" s="17"/>
    </row>
    <row r="2688" spans="28:29">
      <c r="AB2688" s="17"/>
      <c r="AC2688" s="17"/>
    </row>
    <row r="2689" spans="28:29">
      <c r="AB2689" s="17"/>
      <c r="AC2689" s="17"/>
    </row>
    <row r="2690" spans="28:29">
      <c r="AB2690" s="17"/>
      <c r="AC2690" s="17"/>
    </row>
    <row r="2691" spans="28:29">
      <c r="AB2691" s="17"/>
      <c r="AC2691" s="17"/>
    </row>
    <row r="2692" spans="28:29">
      <c r="AB2692" s="17"/>
      <c r="AC2692" s="17"/>
    </row>
    <row r="2693" spans="28:29">
      <c r="AB2693" s="17"/>
      <c r="AC2693" s="17"/>
    </row>
    <row r="2694" spans="28:29">
      <c r="AB2694" s="17"/>
      <c r="AC2694" s="17"/>
    </row>
    <row r="2695" spans="28:29">
      <c r="AB2695" s="17"/>
      <c r="AC2695" s="17"/>
    </row>
    <row r="2696" spans="28:29">
      <c r="AB2696" s="17"/>
      <c r="AC2696" s="17"/>
    </row>
    <row r="2697" spans="28:29">
      <c r="AB2697" s="17"/>
      <c r="AC2697" s="17"/>
    </row>
    <row r="2698" spans="28:29">
      <c r="AB2698" s="17"/>
      <c r="AC2698" s="17"/>
    </row>
    <row r="2699" spans="28:29">
      <c r="AB2699" s="17"/>
      <c r="AC2699" s="17"/>
    </row>
    <row r="2700" spans="28:29">
      <c r="AB2700" s="17"/>
      <c r="AC2700" s="17"/>
    </row>
    <row r="2701" spans="28:29">
      <c r="AB2701" s="17"/>
      <c r="AC2701" s="17"/>
    </row>
    <row r="2702" spans="28:29">
      <c r="AB2702" s="17"/>
      <c r="AC2702" s="17"/>
    </row>
    <row r="2703" spans="28:29">
      <c r="AB2703" s="17"/>
      <c r="AC2703" s="17"/>
    </row>
    <row r="2704" spans="28:29">
      <c r="AB2704" s="17"/>
      <c r="AC2704" s="17"/>
    </row>
    <row r="2705" spans="28:29">
      <c r="AB2705" s="17"/>
      <c r="AC2705" s="17"/>
    </row>
    <row r="2706" spans="28:29">
      <c r="AB2706" s="17"/>
      <c r="AC2706" s="17"/>
    </row>
    <row r="2707" spans="28:29">
      <c r="AB2707" s="17"/>
      <c r="AC2707" s="17"/>
    </row>
    <row r="2708" spans="28:29">
      <c r="AB2708" s="17"/>
      <c r="AC2708" s="17"/>
    </row>
    <row r="2709" spans="28:29">
      <c r="AB2709" s="17"/>
      <c r="AC2709" s="17"/>
    </row>
    <row r="2710" spans="28:29">
      <c r="AB2710" s="17"/>
      <c r="AC2710" s="17"/>
    </row>
    <row r="2711" spans="28:29">
      <c r="AB2711" s="17"/>
      <c r="AC2711" s="17"/>
    </row>
    <row r="2712" spans="28:29">
      <c r="AB2712" s="17"/>
      <c r="AC2712" s="17"/>
    </row>
    <row r="2713" spans="28:29">
      <c r="AB2713" s="17"/>
      <c r="AC2713" s="17"/>
    </row>
    <row r="2714" spans="28:29">
      <c r="AB2714" s="17"/>
      <c r="AC2714" s="17"/>
    </row>
    <row r="2715" spans="28:29">
      <c r="AB2715" s="17"/>
      <c r="AC2715" s="17"/>
    </row>
    <row r="2716" spans="28:29">
      <c r="AB2716" s="17"/>
      <c r="AC2716" s="17"/>
    </row>
    <row r="2717" spans="28:29">
      <c r="AB2717" s="17"/>
      <c r="AC2717" s="17"/>
    </row>
    <row r="2718" spans="28:29">
      <c r="AB2718" s="17"/>
      <c r="AC2718" s="17"/>
    </row>
    <row r="2719" spans="28:29">
      <c r="AB2719" s="17"/>
      <c r="AC2719" s="17"/>
    </row>
    <row r="2720" spans="28:29">
      <c r="AB2720" s="17"/>
      <c r="AC2720" s="17"/>
    </row>
    <row r="2721" spans="28:29">
      <c r="AB2721" s="17"/>
      <c r="AC2721" s="17"/>
    </row>
    <row r="2722" spans="28:29">
      <c r="AB2722" s="17"/>
      <c r="AC2722" s="17"/>
    </row>
    <row r="2723" spans="28:29">
      <c r="AB2723" s="17"/>
      <c r="AC2723" s="17"/>
    </row>
    <row r="2724" spans="28:29">
      <c r="AB2724" s="17"/>
      <c r="AC2724" s="17"/>
    </row>
    <row r="2725" spans="28:29">
      <c r="AB2725" s="17"/>
      <c r="AC2725" s="17"/>
    </row>
    <row r="2726" spans="28:29">
      <c r="AB2726" s="17"/>
      <c r="AC2726" s="17"/>
    </row>
    <row r="2727" spans="28:29">
      <c r="AB2727" s="17"/>
      <c r="AC2727" s="17"/>
    </row>
    <row r="2728" spans="28:29">
      <c r="AB2728" s="17"/>
      <c r="AC2728" s="17"/>
    </row>
    <row r="2729" spans="28:29">
      <c r="AB2729" s="17"/>
      <c r="AC2729" s="17"/>
    </row>
    <row r="2730" spans="28:29">
      <c r="AB2730" s="17"/>
      <c r="AC2730" s="17"/>
    </row>
    <row r="2731" spans="28:29">
      <c r="AB2731" s="17"/>
      <c r="AC2731" s="17"/>
    </row>
    <row r="2732" spans="28:29">
      <c r="AB2732" s="17"/>
      <c r="AC2732" s="17"/>
    </row>
    <row r="2733" spans="28:29">
      <c r="AB2733" s="17"/>
      <c r="AC2733" s="17"/>
    </row>
    <row r="2734" spans="28:29">
      <c r="AB2734" s="17"/>
      <c r="AC2734" s="17"/>
    </row>
    <row r="2735" spans="28:29">
      <c r="AB2735" s="17"/>
      <c r="AC2735" s="17"/>
    </row>
    <row r="2736" spans="28:29">
      <c r="AB2736" s="17"/>
      <c r="AC2736" s="17"/>
    </row>
    <row r="2737" spans="28:29">
      <c r="AB2737" s="17"/>
      <c r="AC2737" s="17"/>
    </row>
    <row r="2738" spans="28:29">
      <c r="AB2738" s="17"/>
      <c r="AC2738" s="17"/>
    </row>
    <row r="2739" spans="28:29">
      <c r="AB2739" s="17"/>
      <c r="AC2739" s="17"/>
    </row>
    <row r="2740" spans="28:29">
      <c r="AB2740" s="17"/>
      <c r="AC2740" s="17"/>
    </row>
    <row r="2741" spans="28:29">
      <c r="AB2741" s="17"/>
      <c r="AC2741" s="17"/>
    </row>
    <row r="2742" spans="28:29">
      <c r="AB2742" s="17"/>
      <c r="AC2742" s="17"/>
    </row>
    <row r="2743" spans="28:29">
      <c r="AB2743" s="17"/>
      <c r="AC2743" s="17"/>
    </row>
    <row r="2744" spans="28:29">
      <c r="AB2744" s="17"/>
      <c r="AC2744" s="17"/>
    </row>
    <row r="2745" spans="28:29">
      <c r="AB2745" s="17"/>
      <c r="AC2745" s="17"/>
    </row>
    <row r="2746" spans="28:29">
      <c r="AB2746" s="17"/>
      <c r="AC2746" s="17"/>
    </row>
    <row r="2747" spans="28:29">
      <c r="AB2747" s="17"/>
      <c r="AC2747" s="17"/>
    </row>
    <row r="2748" spans="28:29">
      <c r="AB2748" s="17"/>
      <c r="AC2748" s="17"/>
    </row>
    <row r="2749" spans="28:29">
      <c r="AB2749" s="17"/>
      <c r="AC2749" s="17"/>
    </row>
    <row r="2750" spans="28:29">
      <c r="AB2750" s="17"/>
      <c r="AC2750" s="17"/>
    </row>
    <row r="2751" spans="28:29">
      <c r="AB2751" s="17"/>
      <c r="AC2751" s="17"/>
    </row>
    <row r="2752" spans="28:29">
      <c r="AB2752" s="17"/>
      <c r="AC2752" s="17"/>
    </row>
    <row r="2753" spans="28:29">
      <c r="AB2753" s="17"/>
      <c r="AC2753" s="17"/>
    </row>
    <row r="2754" spans="28:29">
      <c r="AB2754" s="17"/>
      <c r="AC2754" s="17"/>
    </row>
    <row r="2755" spans="28:29">
      <c r="AB2755" s="17"/>
      <c r="AC2755" s="17"/>
    </row>
    <row r="2756" spans="28:29">
      <c r="AB2756" s="17"/>
      <c r="AC2756" s="17"/>
    </row>
    <row r="2757" spans="28:29">
      <c r="AB2757" s="17"/>
      <c r="AC2757" s="17"/>
    </row>
    <row r="2758" spans="28:29">
      <c r="AB2758" s="17"/>
      <c r="AC2758" s="17"/>
    </row>
    <row r="2759" spans="28:29">
      <c r="AB2759" s="17"/>
      <c r="AC2759" s="17"/>
    </row>
    <row r="2760" spans="28:29">
      <c r="AB2760" s="17"/>
      <c r="AC2760" s="17"/>
    </row>
    <row r="2761" spans="28:29">
      <c r="AB2761" s="17"/>
      <c r="AC2761" s="17"/>
    </row>
    <row r="2762" spans="28:29">
      <c r="AB2762" s="17"/>
      <c r="AC2762" s="17"/>
    </row>
    <row r="2763" spans="28:29">
      <c r="AB2763" s="17"/>
      <c r="AC2763" s="17"/>
    </row>
    <row r="2764" spans="28:29">
      <c r="AB2764" s="17"/>
      <c r="AC2764" s="17"/>
    </row>
    <row r="2765" spans="28:29">
      <c r="AB2765" s="17"/>
      <c r="AC2765" s="17"/>
    </row>
    <row r="2766" spans="28:29">
      <c r="AB2766" s="17"/>
      <c r="AC2766" s="17"/>
    </row>
    <row r="2767" spans="28:29">
      <c r="AB2767" s="17"/>
      <c r="AC2767" s="17"/>
    </row>
    <row r="2768" spans="28:29">
      <c r="AB2768" s="17"/>
      <c r="AC2768" s="17"/>
    </row>
    <row r="2769" spans="28:29">
      <c r="AB2769" s="17"/>
      <c r="AC2769" s="17"/>
    </row>
    <row r="2770" spans="28:29">
      <c r="AB2770" s="17"/>
      <c r="AC2770" s="17"/>
    </row>
    <row r="2771" spans="28:29">
      <c r="AB2771" s="17"/>
      <c r="AC2771" s="17"/>
    </row>
    <row r="2772" spans="28:29">
      <c r="AB2772" s="17"/>
      <c r="AC2772" s="17"/>
    </row>
    <row r="2773" spans="28:29">
      <c r="AB2773" s="17"/>
      <c r="AC2773" s="17"/>
    </row>
    <row r="2774" spans="28:29">
      <c r="AB2774" s="17"/>
      <c r="AC2774" s="17"/>
    </row>
    <row r="2775" spans="28:29">
      <c r="AB2775" s="17"/>
      <c r="AC2775" s="17"/>
    </row>
    <row r="2776" spans="28:29">
      <c r="AB2776" s="17"/>
      <c r="AC2776" s="17"/>
    </row>
    <row r="2777" spans="28:29">
      <c r="AB2777" s="17"/>
      <c r="AC2777" s="17"/>
    </row>
    <row r="2778" spans="28:29">
      <c r="AB2778" s="17"/>
      <c r="AC2778" s="17"/>
    </row>
    <row r="2779" spans="28:29">
      <c r="AB2779" s="17"/>
      <c r="AC2779" s="17"/>
    </row>
    <row r="2780" spans="28:29">
      <c r="AB2780" s="17"/>
      <c r="AC2780" s="17"/>
    </row>
    <row r="2781" spans="28:29">
      <c r="AB2781" s="17"/>
      <c r="AC2781" s="17"/>
    </row>
    <row r="2782" spans="28:29">
      <c r="AB2782" s="17"/>
      <c r="AC2782" s="17"/>
    </row>
    <row r="2783" spans="28:29">
      <c r="AB2783" s="17"/>
      <c r="AC2783" s="17"/>
    </row>
    <row r="2784" spans="28:29">
      <c r="AB2784" s="17"/>
      <c r="AC2784" s="17"/>
    </row>
    <row r="2785" spans="28:29">
      <c r="AB2785" s="17"/>
      <c r="AC2785" s="17"/>
    </row>
    <row r="2786" spans="28:29">
      <c r="AB2786" s="17"/>
      <c r="AC2786" s="17"/>
    </row>
    <row r="2787" spans="28:29">
      <c r="AB2787" s="17"/>
      <c r="AC2787" s="17"/>
    </row>
    <row r="2788" spans="28:29">
      <c r="AB2788" s="17"/>
      <c r="AC2788" s="17"/>
    </row>
    <row r="2789" spans="28:29">
      <c r="AB2789" s="17"/>
      <c r="AC2789" s="17"/>
    </row>
    <row r="2790" spans="28:29">
      <c r="AB2790" s="17"/>
      <c r="AC2790" s="17"/>
    </row>
    <row r="2791" spans="28:29">
      <c r="AB2791" s="17"/>
      <c r="AC2791" s="17"/>
    </row>
    <row r="2792" spans="28:29">
      <c r="AB2792" s="17"/>
      <c r="AC2792" s="17"/>
    </row>
    <row r="2793" spans="28:29">
      <c r="AB2793" s="17"/>
      <c r="AC2793" s="17"/>
    </row>
    <row r="2794" spans="28:29">
      <c r="AB2794" s="17"/>
      <c r="AC2794" s="17"/>
    </row>
    <row r="2795" spans="28:29">
      <c r="AB2795" s="17"/>
      <c r="AC2795" s="17"/>
    </row>
    <row r="2796" spans="28:29">
      <c r="AB2796" s="17"/>
      <c r="AC2796" s="17"/>
    </row>
    <row r="2797" spans="28:29">
      <c r="AB2797" s="17"/>
      <c r="AC2797" s="17"/>
    </row>
    <row r="2798" spans="28:29">
      <c r="AB2798" s="17"/>
      <c r="AC2798" s="17"/>
    </row>
    <row r="2799" spans="28:29">
      <c r="AB2799" s="17"/>
      <c r="AC2799" s="17"/>
    </row>
    <row r="2800" spans="28:29">
      <c r="AB2800" s="17"/>
      <c r="AC2800" s="17"/>
    </row>
    <row r="2801" spans="28:29">
      <c r="AB2801" s="17"/>
      <c r="AC2801" s="17"/>
    </row>
    <row r="2802" spans="28:29">
      <c r="AB2802" s="17"/>
      <c r="AC2802" s="17"/>
    </row>
    <row r="2803" spans="28:29">
      <c r="AB2803" s="17"/>
      <c r="AC2803" s="17"/>
    </row>
    <row r="2804" spans="28:29">
      <c r="AB2804" s="17"/>
      <c r="AC2804" s="17"/>
    </row>
    <row r="2805" spans="28:29">
      <c r="AB2805" s="17"/>
      <c r="AC2805" s="17"/>
    </row>
    <row r="2806" spans="28:29">
      <c r="AB2806" s="17"/>
      <c r="AC2806" s="17"/>
    </row>
    <row r="2807" spans="28:29">
      <c r="AB2807" s="17"/>
      <c r="AC2807" s="17"/>
    </row>
    <row r="2808" spans="28:29">
      <c r="AB2808" s="17"/>
      <c r="AC2808" s="17"/>
    </row>
    <row r="2809" spans="28:29">
      <c r="AB2809" s="17"/>
      <c r="AC2809" s="17"/>
    </row>
    <row r="2810" spans="28:29">
      <c r="AB2810" s="17"/>
      <c r="AC2810" s="17"/>
    </row>
    <row r="2811" spans="28:29">
      <c r="AB2811" s="17"/>
      <c r="AC2811" s="17"/>
    </row>
    <row r="2812" spans="28:29">
      <c r="AB2812" s="17"/>
      <c r="AC2812" s="17"/>
    </row>
    <row r="2813" spans="28:29">
      <c r="AB2813" s="17"/>
      <c r="AC2813" s="17"/>
    </row>
    <row r="2814" spans="28:29">
      <c r="AB2814" s="17"/>
      <c r="AC2814" s="17"/>
    </row>
    <row r="2815" spans="28:29">
      <c r="AB2815" s="17"/>
      <c r="AC2815" s="17"/>
    </row>
    <row r="2816" spans="28:29">
      <c r="AB2816" s="17"/>
      <c r="AC2816" s="17"/>
    </row>
    <row r="2817" spans="28:29">
      <c r="AB2817" s="17"/>
      <c r="AC2817" s="17"/>
    </row>
    <row r="2818" spans="28:29">
      <c r="AB2818" s="17"/>
      <c r="AC2818" s="17"/>
    </row>
    <row r="2819" spans="28:29">
      <c r="AB2819" s="17"/>
      <c r="AC2819" s="17"/>
    </row>
    <row r="2820" spans="28:29">
      <c r="AB2820" s="17"/>
      <c r="AC2820" s="17"/>
    </row>
    <row r="2821" spans="28:29">
      <c r="AB2821" s="17"/>
      <c r="AC2821" s="17"/>
    </row>
    <row r="2822" spans="28:29">
      <c r="AB2822" s="17"/>
      <c r="AC2822" s="17"/>
    </row>
    <row r="2823" spans="28:29">
      <c r="AB2823" s="17"/>
      <c r="AC2823" s="17"/>
    </row>
    <row r="2824" spans="28:29">
      <c r="AB2824" s="17"/>
      <c r="AC2824" s="17"/>
    </row>
    <row r="2825" spans="28:29">
      <c r="AB2825" s="17"/>
      <c r="AC2825" s="17"/>
    </row>
    <row r="2826" spans="28:29">
      <c r="AB2826" s="17"/>
      <c r="AC2826" s="17"/>
    </row>
    <row r="2827" spans="28:29">
      <c r="AB2827" s="17"/>
      <c r="AC2827" s="17"/>
    </row>
    <row r="2828" spans="28:29">
      <c r="AB2828" s="17"/>
      <c r="AC2828" s="17"/>
    </row>
    <row r="2829" spans="28:29">
      <c r="AB2829" s="17"/>
      <c r="AC2829" s="17"/>
    </row>
    <row r="2830" spans="28:29">
      <c r="AB2830" s="17"/>
      <c r="AC2830" s="17"/>
    </row>
    <row r="2831" spans="28:29">
      <c r="AB2831" s="17"/>
      <c r="AC2831" s="17"/>
    </row>
    <row r="2832" spans="28:29">
      <c r="AB2832" s="17"/>
      <c r="AC2832" s="17"/>
    </row>
    <row r="2833" spans="28:29">
      <c r="AB2833" s="17"/>
      <c r="AC2833" s="17"/>
    </row>
    <row r="2834" spans="28:29">
      <c r="AB2834" s="17"/>
      <c r="AC2834" s="17"/>
    </row>
    <row r="2835" spans="28:29">
      <c r="AB2835" s="17"/>
      <c r="AC2835" s="17"/>
    </row>
    <row r="2836" spans="28:29">
      <c r="AB2836" s="17"/>
      <c r="AC2836" s="17"/>
    </row>
    <row r="2837" spans="28:29">
      <c r="AB2837" s="17"/>
      <c r="AC2837" s="17"/>
    </row>
    <row r="2838" spans="28:29">
      <c r="AB2838" s="17"/>
      <c r="AC2838" s="17"/>
    </row>
    <row r="2839" spans="28:29">
      <c r="AB2839" s="17"/>
      <c r="AC2839" s="17"/>
    </row>
    <row r="2840" spans="28:29">
      <c r="AB2840" s="17"/>
      <c r="AC2840" s="17"/>
    </row>
    <row r="2841" spans="28:29">
      <c r="AB2841" s="17"/>
      <c r="AC2841" s="17"/>
    </row>
    <row r="2842" spans="28:29">
      <c r="AB2842" s="17"/>
      <c r="AC2842" s="17"/>
    </row>
    <row r="2843" spans="28:29">
      <c r="AB2843" s="17"/>
      <c r="AC2843" s="17"/>
    </row>
    <row r="2844" spans="28:29">
      <c r="AB2844" s="17"/>
      <c r="AC2844" s="17"/>
    </row>
    <row r="2845" spans="28:29">
      <c r="AB2845" s="17"/>
      <c r="AC2845" s="17"/>
    </row>
    <row r="2846" spans="28:29">
      <c r="AB2846" s="17"/>
      <c r="AC2846" s="17"/>
    </row>
    <row r="2847" spans="28:29">
      <c r="AB2847" s="17"/>
      <c r="AC2847" s="17"/>
    </row>
    <row r="2848" spans="28:29">
      <c r="AB2848" s="17"/>
      <c r="AC2848" s="17"/>
    </row>
    <row r="2849" spans="28:29">
      <c r="AB2849" s="17"/>
      <c r="AC2849" s="17"/>
    </row>
    <row r="2850" spans="28:29">
      <c r="AB2850" s="17"/>
      <c r="AC2850" s="17"/>
    </row>
    <row r="2851" spans="28:29">
      <c r="AB2851" s="17"/>
      <c r="AC2851" s="17"/>
    </row>
    <row r="2852" spans="28:29">
      <c r="AB2852" s="17"/>
      <c r="AC2852" s="17"/>
    </row>
    <row r="2853" spans="28:29">
      <c r="AB2853" s="17"/>
      <c r="AC2853" s="17"/>
    </row>
    <row r="2854" spans="28:29">
      <c r="AB2854" s="17"/>
      <c r="AC2854" s="17"/>
    </row>
    <row r="2855" spans="28:29">
      <c r="AB2855" s="17"/>
      <c r="AC2855" s="17"/>
    </row>
    <row r="2856" spans="28:29">
      <c r="AB2856" s="17"/>
      <c r="AC2856" s="17"/>
    </row>
    <row r="2857" spans="28:29">
      <c r="AB2857" s="17"/>
      <c r="AC2857" s="17"/>
    </row>
    <row r="2858" spans="28:29">
      <c r="AB2858" s="17"/>
      <c r="AC2858" s="17"/>
    </row>
    <row r="2859" spans="28:29">
      <c r="AB2859" s="17"/>
      <c r="AC2859" s="17"/>
    </row>
    <row r="2860" spans="28:29">
      <c r="AB2860" s="17"/>
      <c r="AC2860" s="17"/>
    </row>
    <row r="2861" spans="28:29">
      <c r="AB2861" s="17"/>
      <c r="AC2861" s="17"/>
    </row>
    <row r="2862" spans="28:29">
      <c r="AB2862" s="17"/>
      <c r="AC2862" s="17"/>
    </row>
    <row r="2863" spans="28:29">
      <c r="AB2863" s="17"/>
      <c r="AC2863" s="17"/>
    </row>
    <row r="2864" spans="28:29">
      <c r="AB2864" s="17"/>
      <c r="AC2864" s="17"/>
    </row>
    <row r="2865" spans="28:29">
      <c r="AB2865" s="17"/>
      <c r="AC2865" s="17"/>
    </row>
    <row r="2866" spans="28:29">
      <c r="AB2866" s="17"/>
      <c r="AC2866" s="17"/>
    </row>
    <row r="2867" spans="28:29">
      <c r="AB2867" s="17"/>
      <c r="AC2867" s="17"/>
    </row>
    <row r="2868" spans="28:29">
      <c r="AB2868" s="17"/>
      <c r="AC2868" s="17"/>
    </row>
    <row r="2869" spans="28:29">
      <c r="AB2869" s="17"/>
      <c r="AC2869" s="17"/>
    </row>
    <row r="2870" spans="28:29">
      <c r="AB2870" s="17"/>
      <c r="AC2870" s="17"/>
    </row>
    <row r="2871" spans="28:29">
      <c r="AB2871" s="17"/>
      <c r="AC2871" s="17"/>
    </row>
    <row r="2872" spans="28:29">
      <c r="AB2872" s="17"/>
      <c r="AC2872" s="17"/>
    </row>
    <row r="2873" spans="28:29">
      <c r="AB2873" s="17"/>
      <c r="AC2873" s="17"/>
    </row>
    <row r="2874" spans="28:29">
      <c r="AB2874" s="17"/>
      <c r="AC2874" s="17"/>
    </row>
    <row r="2875" spans="28:29">
      <c r="AB2875" s="17"/>
      <c r="AC2875" s="17"/>
    </row>
    <row r="2876" spans="28:29">
      <c r="AB2876" s="17"/>
      <c r="AC2876" s="17"/>
    </row>
    <row r="2877" spans="28:29">
      <c r="AB2877" s="17"/>
      <c r="AC2877" s="17"/>
    </row>
    <row r="2878" spans="28:29">
      <c r="AB2878" s="17"/>
      <c r="AC2878" s="17"/>
    </row>
    <row r="2879" spans="28:29">
      <c r="AB2879" s="17"/>
      <c r="AC2879" s="17"/>
    </row>
    <row r="2880" spans="28:29">
      <c r="AB2880" s="17"/>
      <c r="AC2880" s="17"/>
    </row>
    <row r="2881" spans="28:29">
      <c r="AB2881" s="17"/>
      <c r="AC2881" s="17"/>
    </row>
    <row r="2882" spans="28:29">
      <c r="AB2882" s="17"/>
      <c r="AC2882" s="17"/>
    </row>
    <row r="2883" spans="28:29">
      <c r="AB2883" s="17"/>
      <c r="AC2883" s="17"/>
    </row>
    <row r="2884" spans="28:29">
      <c r="AB2884" s="17"/>
      <c r="AC2884" s="17"/>
    </row>
    <row r="2885" spans="28:29">
      <c r="AB2885" s="17"/>
      <c r="AC2885" s="17"/>
    </row>
    <row r="2886" spans="28:29">
      <c r="AB2886" s="17"/>
      <c r="AC2886" s="17"/>
    </row>
    <row r="2887" spans="28:29">
      <c r="AB2887" s="17"/>
      <c r="AC2887" s="17"/>
    </row>
    <row r="2888" spans="28:29">
      <c r="AB2888" s="17"/>
      <c r="AC2888" s="17"/>
    </row>
    <row r="2889" spans="28:29">
      <c r="AB2889" s="17"/>
      <c r="AC2889" s="17"/>
    </row>
    <row r="2890" spans="28:29">
      <c r="AB2890" s="17"/>
      <c r="AC2890" s="17"/>
    </row>
    <row r="2891" spans="28:29">
      <c r="AB2891" s="17"/>
      <c r="AC2891" s="17"/>
    </row>
    <row r="2892" spans="28:29">
      <c r="AB2892" s="17"/>
      <c r="AC2892" s="17"/>
    </row>
    <row r="2893" spans="28:29">
      <c r="AB2893" s="17"/>
      <c r="AC2893" s="17"/>
    </row>
    <row r="2894" spans="28:29">
      <c r="AB2894" s="17"/>
      <c r="AC2894" s="17"/>
    </row>
    <row r="2895" spans="28:29">
      <c r="AB2895" s="17"/>
      <c r="AC2895" s="17"/>
    </row>
    <row r="2896" spans="28:29">
      <c r="AB2896" s="17"/>
      <c r="AC2896" s="17"/>
    </row>
    <row r="2897" spans="28:29">
      <c r="AB2897" s="17"/>
      <c r="AC2897" s="17"/>
    </row>
    <row r="2898" spans="28:29">
      <c r="AB2898" s="17"/>
      <c r="AC2898" s="17"/>
    </row>
    <row r="2899" spans="28:29">
      <c r="AB2899" s="17"/>
      <c r="AC2899" s="17"/>
    </row>
    <row r="2900" spans="28:29">
      <c r="AB2900" s="17"/>
      <c r="AC2900" s="17"/>
    </row>
    <row r="2901" spans="28:29">
      <c r="AB2901" s="17"/>
      <c r="AC2901" s="17"/>
    </row>
    <row r="2902" spans="28:29">
      <c r="AB2902" s="17"/>
      <c r="AC2902" s="17"/>
    </row>
    <row r="2903" spans="28:29">
      <c r="AB2903" s="17"/>
      <c r="AC2903" s="17"/>
    </row>
    <row r="2904" spans="28:29">
      <c r="AB2904" s="17"/>
      <c r="AC2904" s="17"/>
    </row>
    <row r="2905" spans="28:29">
      <c r="AB2905" s="17"/>
      <c r="AC2905" s="17"/>
    </row>
    <row r="2906" spans="28:29">
      <c r="AB2906" s="17"/>
      <c r="AC2906" s="17"/>
    </row>
    <row r="2907" spans="28:29">
      <c r="AB2907" s="17"/>
      <c r="AC2907" s="17"/>
    </row>
    <row r="2908" spans="28:29">
      <c r="AB2908" s="17"/>
      <c r="AC2908" s="17"/>
    </row>
    <row r="2909" spans="28:29">
      <c r="AB2909" s="17"/>
      <c r="AC2909" s="17"/>
    </row>
    <row r="2910" spans="28:29">
      <c r="AB2910" s="17"/>
      <c r="AC2910" s="17"/>
    </row>
    <row r="2911" spans="28:29">
      <c r="AB2911" s="17"/>
      <c r="AC2911" s="17"/>
    </row>
    <row r="2912" spans="28:29">
      <c r="AB2912" s="17"/>
      <c r="AC2912" s="17"/>
    </row>
    <row r="2913" spans="28:29">
      <c r="AB2913" s="17"/>
      <c r="AC2913" s="17"/>
    </row>
    <row r="2914" spans="28:29">
      <c r="AB2914" s="17"/>
      <c r="AC2914" s="17"/>
    </row>
    <row r="2915" spans="28:29">
      <c r="AB2915" s="17"/>
      <c r="AC2915" s="17"/>
    </row>
    <row r="2916" spans="28:29">
      <c r="AB2916" s="17"/>
      <c r="AC2916" s="17"/>
    </row>
    <row r="2917" spans="28:29">
      <c r="AB2917" s="17"/>
      <c r="AC2917" s="17"/>
    </row>
    <row r="2918" spans="28:29">
      <c r="AB2918" s="17"/>
      <c r="AC2918" s="17"/>
    </row>
    <row r="2919" spans="28:29">
      <c r="AB2919" s="17"/>
      <c r="AC2919" s="17"/>
    </row>
    <row r="2920" spans="28:29">
      <c r="AB2920" s="17"/>
      <c r="AC2920" s="17"/>
    </row>
    <row r="2921" spans="28:29">
      <c r="AB2921" s="17"/>
      <c r="AC2921" s="17"/>
    </row>
    <row r="2922" spans="28:29">
      <c r="AB2922" s="17"/>
      <c r="AC2922" s="17"/>
    </row>
    <row r="2923" spans="28:29">
      <c r="AB2923" s="17"/>
      <c r="AC2923" s="17"/>
    </row>
    <row r="2924" spans="28:29">
      <c r="AB2924" s="17"/>
      <c r="AC2924" s="17"/>
    </row>
    <row r="2925" spans="28:29">
      <c r="AB2925" s="17"/>
      <c r="AC2925" s="17"/>
    </row>
    <row r="2926" spans="28:29">
      <c r="AB2926" s="17"/>
      <c r="AC2926" s="17"/>
    </row>
    <row r="2927" spans="28:29">
      <c r="AB2927" s="17"/>
      <c r="AC2927" s="17"/>
    </row>
    <row r="2928" spans="28:29">
      <c r="AB2928" s="17"/>
      <c r="AC2928" s="17"/>
    </row>
    <row r="2929" spans="28:29">
      <c r="AB2929" s="17"/>
      <c r="AC2929" s="17"/>
    </row>
    <row r="2930" spans="28:29">
      <c r="AB2930" s="17"/>
      <c r="AC2930" s="17"/>
    </row>
    <row r="2931" spans="28:29">
      <c r="AB2931" s="17"/>
      <c r="AC2931" s="17"/>
    </row>
    <row r="2932" spans="28:29">
      <c r="AB2932" s="17"/>
      <c r="AC2932" s="17"/>
    </row>
    <row r="2933" spans="28:29">
      <c r="AB2933" s="17"/>
      <c r="AC2933" s="17"/>
    </row>
    <row r="2934" spans="28:29">
      <c r="AB2934" s="17"/>
      <c r="AC2934" s="17"/>
    </row>
    <row r="2935" spans="28:29">
      <c r="AB2935" s="17"/>
      <c r="AC2935" s="17"/>
    </row>
    <row r="2936" spans="28:29">
      <c r="AB2936" s="17"/>
      <c r="AC2936" s="17"/>
    </row>
    <row r="2937" spans="28:29">
      <c r="AB2937" s="17"/>
      <c r="AC2937" s="17"/>
    </row>
    <row r="2938" spans="28:29">
      <c r="AB2938" s="17"/>
      <c r="AC2938" s="17"/>
    </row>
    <row r="2939" spans="28:29">
      <c r="AB2939" s="17"/>
      <c r="AC2939" s="17"/>
    </row>
    <row r="2940" spans="28:29">
      <c r="AB2940" s="17"/>
      <c r="AC2940" s="17"/>
    </row>
    <row r="2941" spans="28:29">
      <c r="AB2941" s="17"/>
      <c r="AC2941" s="17"/>
    </row>
    <row r="2942" spans="28:29">
      <c r="AB2942" s="17"/>
      <c r="AC2942" s="17"/>
    </row>
    <row r="2943" spans="28:29">
      <c r="AB2943" s="17"/>
      <c r="AC2943" s="17"/>
    </row>
    <row r="2944" spans="28:29">
      <c r="AB2944" s="17"/>
      <c r="AC2944" s="17"/>
    </row>
    <row r="2945" spans="28:29">
      <c r="AB2945" s="17"/>
      <c r="AC2945" s="17"/>
    </row>
    <row r="2946" spans="28:29">
      <c r="AB2946" s="17"/>
      <c r="AC2946" s="17"/>
    </row>
    <row r="2947" spans="28:29">
      <c r="AB2947" s="17"/>
      <c r="AC2947" s="17"/>
    </row>
    <row r="2948" spans="28:29">
      <c r="AB2948" s="17"/>
      <c r="AC2948" s="17"/>
    </row>
    <row r="2949" spans="28:29">
      <c r="AB2949" s="17"/>
      <c r="AC2949" s="17"/>
    </row>
    <row r="2950" spans="28:29">
      <c r="AB2950" s="17"/>
      <c r="AC2950" s="17"/>
    </row>
    <row r="2951" spans="28:29">
      <c r="AB2951" s="17"/>
      <c r="AC2951" s="17"/>
    </row>
    <row r="2952" spans="28:29">
      <c r="AB2952" s="17"/>
      <c r="AC2952" s="17"/>
    </row>
    <row r="2953" spans="28:29">
      <c r="AB2953" s="17"/>
      <c r="AC2953" s="17"/>
    </row>
    <row r="2954" spans="28:29">
      <c r="AB2954" s="17"/>
      <c r="AC2954" s="17"/>
    </row>
    <row r="2955" spans="28:29">
      <c r="AB2955" s="17"/>
      <c r="AC2955" s="17"/>
    </row>
    <row r="2956" spans="28:29">
      <c r="AB2956" s="17"/>
      <c r="AC2956" s="17"/>
    </row>
    <row r="2957" spans="28:29">
      <c r="AB2957" s="17"/>
      <c r="AC2957" s="17"/>
    </row>
    <row r="2958" spans="28:29">
      <c r="AB2958" s="17"/>
      <c r="AC2958" s="17"/>
    </row>
    <row r="2959" spans="28:29">
      <c r="AB2959" s="17"/>
      <c r="AC2959" s="17"/>
    </row>
    <row r="2960" spans="28:29">
      <c r="AB2960" s="17"/>
      <c r="AC2960" s="17"/>
    </row>
    <row r="2961" spans="28:29">
      <c r="AB2961" s="17"/>
      <c r="AC2961" s="17"/>
    </row>
    <row r="2962" spans="28:29">
      <c r="AB2962" s="17"/>
      <c r="AC2962" s="17"/>
    </row>
    <row r="2963" spans="28:29">
      <c r="AB2963" s="17"/>
      <c r="AC2963" s="17"/>
    </row>
    <row r="2964" spans="28:29">
      <c r="AB2964" s="17"/>
      <c r="AC2964" s="17"/>
    </row>
    <row r="2965" spans="28:29">
      <c r="AB2965" s="17"/>
      <c r="AC2965" s="17"/>
    </row>
    <row r="2966" spans="28:29">
      <c r="AB2966" s="17"/>
      <c r="AC2966" s="17"/>
    </row>
    <row r="2967" spans="28:29">
      <c r="AB2967" s="17"/>
      <c r="AC2967" s="17"/>
    </row>
    <row r="2968" spans="28:29">
      <c r="AB2968" s="17"/>
      <c r="AC2968" s="17"/>
    </row>
    <row r="2969" spans="28:29">
      <c r="AB2969" s="17"/>
      <c r="AC2969" s="17"/>
    </row>
    <row r="2970" spans="28:29">
      <c r="AB2970" s="17"/>
      <c r="AC2970" s="17"/>
    </row>
    <row r="2971" spans="28:29">
      <c r="AB2971" s="17"/>
      <c r="AC2971" s="17"/>
    </row>
    <row r="2972" spans="28:29">
      <c r="AB2972" s="17"/>
      <c r="AC2972" s="17"/>
    </row>
    <row r="2973" spans="28:29">
      <c r="AB2973" s="17"/>
      <c r="AC2973" s="17"/>
    </row>
    <row r="2974" spans="28:29">
      <c r="AB2974" s="17"/>
      <c r="AC2974" s="17"/>
    </row>
    <row r="2975" spans="28:29">
      <c r="AB2975" s="17"/>
      <c r="AC2975" s="17"/>
    </row>
    <row r="2976" spans="28:29">
      <c r="AB2976" s="17"/>
      <c r="AC2976" s="17"/>
    </row>
    <row r="2977" spans="28:29">
      <c r="AB2977" s="17"/>
      <c r="AC2977" s="17"/>
    </row>
    <row r="2978" spans="28:29">
      <c r="AB2978" s="17"/>
      <c r="AC2978" s="17"/>
    </row>
    <row r="2979" spans="28:29">
      <c r="AB2979" s="17"/>
      <c r="AC2979" s="17"/>
    </row>
    <row r="2980" spans="28:29">
      <c r="AB2980" s="17"/>
      <c r="AC2980" s="17"/>
    </row>
    <row r="2981" spans="28:29">
      <c r="AB2981" s="17"/>
      <c r="AC2981" s="17"/>
    </row>
    <row r="2982" spans="28:29">
      <c r="AB2982" s="17"/>
      <c r="AC2982" s="17"/>
    </row>
    <row r="2983" spans="28:29">
      <c r="AB2983" s="17"/>
      <c r="AC2983" s="17"/>
    </row>
    <row r="2984" spans="28:29">
      <c r="AB2984" s="17"/>
      <c r="AC2984" s="17"/>
    </row>
    <row r="2985" spans="28:29">
      <c r="AB2985" s="17"/>
      <c r="AC2985" s="17"/>
    </row>
    <row r="2986" spans="28:29">
      <c r="AB2986" s="17"/>
      <c r="AC2986" s="17"/>
    </row>
    <row r="2987" spans="28:29">
      <c r="AB2987" s="17"/>
      <c r="AC2987" s="17"/>
    </row>
    <row r="2988" spans="28:29">
      <c r="AB2988" s="17"/>
      <c r="AC2988" s="17"/>
    </row>
    <row r="2989" spans="28:29">
      <c r="AB2989" s="17"/>
      <c r="AC2989" s="17"/>
    </row>
    <row r="2990" spans="28:29">
      <c r="AB2990" s="17"/>
      <c r="AC2990" s="17"/>
    </row>
    <row r="2991" spans="28:29">
      <c r="AB2991" s="17"/>
      <c r="AC2991" s="17"/>
    </row>
    <row r="2992" spans="28:29">
      <c r="AB2992" s="17"/>
      <c r="AC2992" s="17"/>
    </row>
    <row r="2993" spans="28:29">
      <c r="AB2993" s="17"/>
      <c r="AC2993" s="17"/>
    </row>
    <row r="2994" spans="28:29">
      <c r="AB2994" s="17"/>
      <c r="AC2994" s="17"/>
    </row>
    <row r="2995" spans="28:29">
      <c r="AB2995" s="17"/>
      <c r="AC2995" s="17"/>
    </row>
    <row r="2996" spans="28:29">
      <c r="AB2996" s="17"/>
      <c r="AC2996" s="17"/>
    </row>
    <row r="2997" spans="28:29">
      <c r="AB2997" s="17"/>
      <c r="AC2997" s="17"/>
    </row>
    <row r="2998" spans="28:29">
      <c r="AB2998" s="17"/>
      <c r="AC2998" s="17"/>
    </row>
    <row r="2999" spans="28:29">
      <c r="AB2999" s="17"/>
      <c r="AC2999" s="17"/>
    </row>
    <row r="3000" spans="28:29">
      <c r="AB3000" s="17"/>
      <c r="AC3000" s="17"/>
    </row>
    <row r="3001" spans="28:29">
      <c r="AB3001" s="17"/>
      <c r="AC3001" s="17"/>
    </row>
    <row r="3002" spans="28:29">
      <c r="AB3002" s="17"/>
      <c r="AC3002" s="17"/>
    </row>
    <row r="3003" spans="28:29">
      <c r="AB3003" s="17"/>
      <c r="AC3003" s="17"/>
    </row>
    <row r="3004" spans="28:29">
      <c r="AB3004" s="17"/>
      <c r="AC3004" s="17"/>
    </row>
    <row r="3005" spans="28:29">
      <c r="AB3005" s="17"/>
      <c r="AC3005" s="17"/>
    </row>
    <row r="3006" spans="28:29">
      <c r="AB3006" s="17"/>
      <c r="AC3006" s="17"/>
    </row>
    <row r="3007" spans="28:29">
      <c r="AB3007" s="17"/>
      <c r="AC3007" s="17"/>
    </row>
    <row r="3008" spans="28:29">
      <c r="AB3008" s="17"/>
      <c r="AC3008" s="17"/>
    </row>
    <row r="3009" spans="28:29">
      <c r="AB3009" s="17"/>
      <c r="AC3009" s="17"/>
    </row>
    <row r="3010" spans="28:29">
      <c r="AB3010" s="17"/>
      <c r="AC3010" s="17"/>
    </row>
    <row r="3011" spans="28:29">
      <c r="AB3011" s="17"/>
      <c r="AC3011" s="17"/>
    </row>
    <row r="3012" spans="28:29">
      <c r="AB3012" s="17"/>
      <c r="AC3012" s="17"/>
    </row>
    <row r="3013" spans="28:29">
      <c r="AB3013" s="17"/>
      <c r="AC3013" s="17"/>
    </row>
    <row r="3014" spans="28:29">
      <c r="AB3014" s="17"/>
      <c r="AC3014" s="17"/>
    </row>
    <row r="3015" spans="28:29">
      <c r="AB3015" s="17"/>
      <c r="AC3015" s="17"/>
    </row>
    <row r="3016" spans="28:29">
      <c r="AB3016" s="17"/>
      <c r="AC3016" s="17"/>
    </row>
    <row r="3017" spans="28:29">
      <c r="AB3017" s="17"/>
      <c r="AC3017" s="17"/>
    </row>
    <row r="3018" spans="28:29">
      <c r="AB3018" s="17"/>
      <c r="AC3018" s="17"/>
    </row>
    <row r="3019" spans="28:29">
      <c r="AB3019" s="17"/>
      <c r="AC3019" s="17"/>
    </row>
    <row r="3020" spans="28:29">
      <c r="AB3020" s="17"/>
      <c r="AC3020" s="17"/>
    </row>
    <row r="3021" spans="28:29">
      <c r="AB3021" s="17"/>
      <c r="AC3021" s="17"/>
    </row>
    <row r="3022" spans="28:29">
      <c r="AB3022" s="17"/>
      <c r="AC3022" s="17"/>
    </row>
    <row r="3023" spans="28:29">
      <c r="AB3023" s="17"/>
      <c r="AC3023" s="17"/>
    </row>
    <row r="3024" spans="28:29">
      <c r="AB3024" s="17"/>
      <c r="AC3024" s="17"/>
    </row>
    <row r="3025" spans="28:29">
      <c r="AB3025" s="17"/>
      <c r="AC3025" s="17"/>
    </row>
    <row r="3026" spans="28:29">
      <c r="AB3026" s="17"/>
      <c r="AC3026" s="17"/>
    </row>
    <row r="3027" spans="28:29">
      <c r="AB3027" s="17"/>
      <c r="AC3027" s="17"/>
    </row>
    <row r="3028" spans="28:29">
      <c r="AB3028" s="17"/>
      <c r="AC3028" s="17"/>
    </row>
    <row r="3029" spans="28:29">
      <c r="AB3029" s="17"/>
      <c r="AC3029" s="17"/>
    </row>
    <row r="3030" spans="28:29">
      <c r="AB3030" s="17"/>
      <c r="AC3030" s="17"/>
    </row>
    <row r="3031" spans="28:29">
      <c r="AB3031" s="17"/>
      <c r="AC3031" s="17"/>
    </row>
    <row r="3032" spans="28:29">
      <c r="AB3032" s="17"/>
      <c r="AC3032" s="17"/>
    </row>
    <row r="3033" spans="28:29">
      <c r="AB3033" s="17"/>
      <c r="AC3033" s="17"/>
    </row>
    <row r="3034" spans="28:29">
      <c r="AB3034" s="17"/>
      <c r="AC3034" s="17"/>
    </row>
    <row r="3035" spans="28:29">
      <c r="AB3035" s="17"/>
      <c r="AC3035" s="17"/>
    </row>
    <row r="3036" spans="28:29">
      <c r="AB3036" s="17"/>
      <c r="AC3036" s="17"/>
    </row>
    <row r="3037" spans="28:29">
      <c r="AB3037" s="17"/>
      <c r="AC3037" s="17"/>
    </row>
    <row r="3038" spans="28:29">
      <c r="AB3038" s="17"/>
      <c r="AC3038" s="17"/>
    </row>
    <row r="3039" spans="28:29">
      <c r="AB3039" s="17"/>
      <c r="AC3039" s="17"/>
    </row>
    <row r="3040" spans="28:29">
      <c r="AB3040" s="17"/>
      <c r="AC3040" s="17"/>
    </row>
    <row r="3041" spans="28:29">
      <c r="AB3041" s="17"/>
      <c r="AC3041" s="17"/>
    </row>
    <row r="3042" spans="28:29">
      <c r="AB3042" s="17"/>
      <c r="AC3042" s="17"/>
    </row>
    <row r="3043" spans="28:29">
      <c r="AB3043" s="17"/>
      <c r="AC3043" s="17"/>
    </row>
    <row r="3044" spans="28:29">
      <c r="AB3044" s="17"/>
      <c r="AC3044" s="17"/>
    </row>
    <row r="3045" spans="28:29">
      <c r="AB3045" s="17"/>
      <c r="AC3045" s="17"/>
    </row>
    <row r="3046" spans="28:29">
      <c r="AB3046" s="17"/>
      <c r="AC3046" s="17"/>
    </row>
    <row r="3047" spans="28:29">
      <c r="AB3047" s="17"/>
      <c r="AC3047" s="17"/>
    </row>
    <row r="3048" spans="28:29">
      <c r="AB3048" s="17"/>
      <c r="AC3048" s="17"/>
    </row>
    <row r="3049" spans="28:29">
      <c r="AB3049" s="17"/>
      <c r="AC3049" s="17"/>
    </row>
    <row r="3050" spans="28:29">
      <c r="AB3050" s="17"/>
      <c r="AC3050" s="17"/>
    </row>
    <row r="3051" spans="28:29">
      <c r="AB3051" s="17"/>
      <c r="AC3051" s="17"/>
    </row>
    <row r="3052" spans="28:29">
      <c r="AB3052" s="17"/>
      <c r="AC3052" s="17"/>
    </row>
    <row r="3053" spans="28:29">
      <c r="AB3053" s="17"/>
      <c r="AC3053" s="17"/>
    </row>
    <row r="3054" spans="28:29">
      <c r="AB3054" s="17"/>
      <c r="AC3054" s="17"/>
    </row>
    <row r="3055" spans="28:29">
      <c r="AB3055" s="17"/>
      <c r="AC3055" s="17"/>
    </row>
    <row r="3056" spans="28:29">
      <c r="AB3056" s="17"/>
      <c r="AC3056" s="17"/>
    </row>
    <row r="3057" spans="28:29">
      <c r="AB3057" s="17"/>
      <c r="AC3057" s="17"/>
    </row>
    <row r="3058" spans="28:29">
      <c r="AB3058" s="17"/>
      <c r="AC3058" s="17"/>
    </row>
    <row r="3059" spans="28:29">
      <c r="AB3059" s="17"/>
      <c r="AC3059" s="17"/>
    </row>
    <row r="3060" spans="28:29">
      <c r="AB3060" s="17"/>
      <c r="AC3060" s="17"/>
    </row>
    <row r="3061" spans="28:29">
      <c r="AB3061" s="17"/>
      <c r="AC3061" s="17"/>
    </row>
    <row r="3062" spans="28:29">
      <c r="AB3062" s="17"/>
      <c r="AC3062" s="17"/>
    </row>
    <row r="3063" spans="28:29">
      <c r="AB3063" s="17"/>
      <c r="AC3063" s="17"/>
    </row>
    <row r="3064" spans="28:29">
      <c r="AB3064" s="17"/>
      <c r="AC3064" s="17"/>
    </row>
    <row r="3065" spans="28:29">
      <c r="AB3065" s="17"/>
      <c r="AC3065" s="17"/>
    </row>
    <row r="3066" spans="28:29">
      <c r="AB3066" s="17"/>
      <c r="AC3066" s="17"/>
    </row>
    <row r="3067" spans="28:29">
      <c r="AB3067" s="17"/>
      <c r="AC3067" s="17"/>
    </row>
    <row r="3068" spans="28:29">
      <c r="AB3068" s="17"/>
      <c r="AC3068" s="17"/>
    </row>
    <row r="3069" spans="28:29">
      <c r="AB3069" s="17"/>
      <c r="AC3069" s="17"/>
    </row>
    <row r="3070" spans="28:29">
      <c r="AB3070" s="17"/>
      <c r="AC3070" s="17"/>
    </row>
    <row r="3071" spans="28:29">
      <c r="AB3071" s="17"/>
      <c r="AC3071" s="17"/>
    </row>
    <row r="3072" spans="28:29">
      <c r="AB3072" s="17"/>
      <c r="AC3072" s="17"/>
    </row>
    <row r="3073" spans="28:29">
      <c r="AB3073" s="17"/>
      <c r="AC3073" s="17"/>
    </row>
    <row r="3074" spans="28:29">
      <c r="AB3074" s="17"/>
      <c r="AC3074" s="17"/>
    </row>
    <row r="3075" spans="28:29">
      <c r="AB3075" s="17"/>
      <c r="AC3075" s="17"/>
    </row>
    <row r="3076" spans="28:29">
      <c r="AB3076" s="17"/>
      <c r="AC3076" s="17"/>
    </row>
    <row r="3077" spans="28:29">
      <c r="AB3077" s="17"/>
      <c r="AC3077" s="17"/>
    </row>
    <row r="3078" spans="28:29">
      <c r="AB3078" s="17"/>
      <c r="AC3078" s="17"/>
    </row>
    <row r="3079" spans="28:29">
      <c r="AB3079" s="17"/>
      <c r="AC3079" s="17"/>
    </row>
    <row r="3080" spans="28:29">
      <c r="AB3080" s="17"/>
      <c r="AC3080" s="17"/>
    </row>
    <row r="3081" spans="28:29">
      <c r="AB3081" s="17"/>
      <c r="AC3081" s="17"/>
    </row>
    <row r="3082" spans="28:29">
      <c r="AB3082" s="17"/>
      <c r="AC3082" s="17"/>
    </row>
    <row r="3083" spans="28:29">
      <c r="AB3083" s="17"/>
      <c r="AC3083" s="17"/>
    </row>
    <row r="3084" spans="28:29">
      <c r="AB3084" s="17"/>
      <c r="AC3084" s="17"/>
    </row>
    <row r="3085" spans="28:29">
      <c r="AB3085" s="17"/>
      <c r="AC3085" s="17"/>
    </row>
    <row r="3086" spans="28:29">
      <c r="AB3086" s="17"/>
      <c r="AC3086" s="17"/>
    </row>
    <row r="3087" spans="28:29">
      <c r="AB3087" s="17"/>
      <c r="AC3087" s="17"/>
    </row>
    <row r="3088" spans="28:29">
      <c r="AB3088" s="17"/>
      <c r="AC3088" s="17"/>
    </row>
    <row r="3089" spans="28:29">
      <c r="AB3089" s="17"/>
      <c r="AC3089" s="17"/>
    </row>
    <row r="3090" spans="28:29">
      <c r="AB3090" s="17"/>
      <c r="AC3090" s="17"/>
    </row>
    <row r="3091" spans="28:29">
      <c r="AB3091" s="17"/>
      <c r="AC3091" s="17"/>
    </row>
    <row r="3092" spans="28:29">
      <c r="AB3092" s="17"/>
      <c r="AC3092" s="17"/>
    </row>
    <row r="3093" spans="28:29">
      <c r="AB3093" s="17"/>
      <c r="AC3093" s="17"/>
    </row>
    <row r="3094" spans="28:29">
      <c r="AB3094" s="17"/>
      <c r="AC3094" s="17"/>
    </row>
    <row r="3095" spans="28:29">
      <c r="AB3095" s="17"/>
      <c r="AC3095" s="17"/>
    </row>
    <row r="3096" spans="28:29">
      <c r="AB3096" s="17"/>
      <c r="AC3096" s="17"/>
    </row>
    <row r="3097" spans="28:29">
      <c r="AB3097" s="17"/>
      <c r="AC3097" s="17"/>
    </row>
    <row r="3098" spans="28:29">
      <c r="AB3098" s="17"/>
      <c r="AC3098" s="17"/>
    </row>
    <row r="3099" spans="28:29">
      <c r="AB3099" s="17"/>
      <c r="AC3099" s="17"/>
    </row>
    <row r="3100" spans="28:29">
      <c r="AB3100" s="17"/>
      <c r="AC3100" s="17"/>
    </row>
    <row r="3101" spans="28:29">
      <c r="AB3101" s="17"/>
      <c r="AC3101" s="17"/>
    </row>
    <row r="3102" spans="28:29">
      <c r="AB3102" s="17"/>
      <c r="AC3102" s="17"/>
    </row>
    <row r="3103" spans="28:29">
      <c r="AB3103" s="17"/>
      <c r="AC3103" s="17"/>
    </row>
    <row r="3104" spans="28:29">
      <c r="AB3104" s="17"/>
      <c r="AC3104" s="17"/>
    </row>
    <row r="3105" spans="28:29">
      <c r="AB3105" s="17"/>
      <c r="AC3105" s="17"/>
    </row>
    <row r="3106" spans="28:29">
      <c r="AB3106" s="17"/>
      <c r="AC3106" s="17"/>
    </row>
    <row r="3107" spans="28:29">
      <c r="AB3107" s="17"/>
      <c r="AC3107" s="17"/>
    </row>
    <row r="3108" spans="28:29">
      <c r="AB3108" s="17"/>
      <c r="AC3108" s="17"/>
    </row>
    <row r="3109" spans="28:29">
      <c r="AB3109" s="17"/>
      <c r="AC3109" s="17"/>
    </row>
    <row r="3110" spans="28:29">
      <c r="AB3110" s="17"/>
      <c r="AC3110" s="17"/>
    </row>
    <row r="3111" spans="28:29">
      <c r="AB3111" s="17"/>
      <c r="AC3111" s="17"/>
    </row>
    <row r="3112" spans="28:29">
      <c r="AB3112" s="17"/>
      <c r="AC3112" s="17"/>
    </row>
    <row r="3113" spans="28:29">
      <c r="AB3113" s="17"/>
      <c r="AC3113" s="17"/>
    </row>
    <row r="3114" spans="28:29">
      <c r="AB3114" s="17"/>
      <c r="AC3114" s="17"/>
    </row>
    <row r="3115" spans="28:29">
      <c r="AB3115" s="17"/>
      <c r="AC3115" s="17"/>
    </row>
    <row r="3116" spans="28:29">
      <c r="AB3116" s="17"/>
      <c r="AC3116" s="17"/>
    </row>
    <row r="3117" spans="28:29">
      <c r="AB3117" s="17"/>
      <c r="AC3117" s="17"/>
    </row>
    <row r="3118" spans="28:29">
      <c r="AB3118" s="17"/>
      <c r="AC3118" s="17"/>
    </row>
    <row r="3119" spans="28:29">
      <c r="AB3119" s="17"/>
      <c r="AC3119" s="17"/>
    </row>
    <row r="3120" spans="28:29">
      <c r="AB3120" s="17"/>
      <c r="AC3120" s="17"/>
    </row>
    <row r="3121" spans="28:29">
      <c r="AB3121" s="17"/>
      <c r="AC3121" s="17"/>
    </row>
    <row r="3122" spans="28:29">
      <c r="AB3122" s="17"/>
      <c r="AC3122" s="17"/>
    </row>
    <row r="3123" spans="28:29">
      <c r="AB3123" s="17"/>
      <c r="AC3123" s="17"/>
    </row>
    <row r="3124" spans="28:29">
      <c r="AB3124" s="17"/>
      <c r="AC3124" s="17"/>
    </row>
    <row r="3125" spans="28:29">
      <c r="AB3125" s="17"/>
      <c r="AC3125" s="17"/>
    </row>
    <row r="3126" spans="28:29">
      <c r="AB3126" s="17"/>
      <c r="AC3126" s="17"/>
    </row>
    <row r="3127" spans="28:29">
      <c r="AB3127" s="17"/>
      <c r="AC3127" s="17"/>
    </row>
    <row r="3128" spans="28:29">
      <c r="AB3128" s="17"/>
      <c r="AC3128" s="17"/>
    </row>
    <row r="3129" spans="28:29">
      <c r="AB3129" s="17"/>
      <c r="AC3129" s="17"/>
    </row>
    <row r="3130" spans="28:29">
      <c r="AB3130" s="17"/>
      <c r="AC3130" s="17"/>
    </row>
    <row r="3131" spans="28:29">
      <c r="AB3131" s="17"/>
      <c r="AC3131" s="17"/>
    </row>
    <row r="3132" spans="28:29">
      <c r="AB3132" s="17"/>
      <c r="AC3132" s="17"/>
    </row>
    <row r="3133" spans="28:29">
      <c r="AB3133" s="17"/>
      <c r="AC3133" s="17"/>
    </row>
    <row r="3134" spans="28:29">
      <c r="AB3134" s="17"/>
      <c r="AC3134" s="17"/>
    </row>
    <row r="3135" spans="28:29">
      <c r="AB3135" s="17"/>
      <c r="AC3135" s="17"/>
    </row>
    <row r="3136" spans="28:29">
      <c r="AB3136" s="17"/>
      <c r="AC3136" s="17"/>
    </row>
    <row r="3137" spans="28:29">
      <c r="AB3137" s="17"/>
      <c r="AC3137" s="17"/>
    </row>
    <row r="3138" spans="28:29">
      <c r="AB3138" s="17"/>
      <c r="AC3138" s="17"/>
    </row>
    <row r="3139" spans="28:29">
      <c r="AB3139" s="17"/>
      <c r="AC3139" s="17"/>
    </row>
    <row r="3140" spans="28:29">
      <c r="AB3140" s="17"/>
      <c r="AC3140" s="17"/>
    </row>
    <row r="3141" spans="28:29">
      <c r="AB3141" s="17"/>
      <c r="AC3141" s="17"/>
    </row>
    <row r="3142" spans="28:29">
      <c r="AB3142" s="17"/>
      <c r="AC3142" s="17"/>
    </row>
    <row r="3143" spans="28:29">
      <c r="AB3143" s="17"/>
      <c r="AC3143" s="17"/>
    </row>
    <row r="3144" spans="28:29">
      <c r="AB3144" s="17"/>
      <c r="AC3144" s="17"/>
    </row>
    <row r="3145" spans="28:29">
      <c r="AB3145" s="17"/>
      <c r="AC3145" s="17"/>
    </row>
    <row r="3146" spans="28:29">
      <c r="AB3146" s="17"/>
      <c r="AC3146" s="17"/>
    </row>
    <row r="3147" spans="28:29">
      <c r="AB3147" s="17"/>
      <c r="AC3147" s="17"/>
    </row>
    <row r="3148" spans="28:29">
      <c r="AB3148" s="17"/>
      <c r="AC3148" s="17"/>
    </row>
    <row r="3149" spans="28:29">
      <c r="AB3149" s="17"/>
      <c r="AC3149" s="17"/>
    </row>
    <row r="3150" spans="28:29">
      <c r="AB3150" s="17"/>
      <c r="AC3150" s="17"/>
    </row>
    <row r="3151" spans="28:29">
      <c r="AB3151" s="17"/>
      <c r="AC3151" s="17"/>
    </row>
    <row r="3152" spans="28:29">
      <c r="AB3152" s="17"/>
      <c r="AC3152" s="17"/>
    </row>
    <row r="3153" spans="28:29">
      <c r="AB3153" s="17"/>
      <c r="AC3153" s="17"/>
    </row>
    <row r="3154" spans="28:29">
      <c r="AB3154" s="17"/>
      <c r="AC3154" s="17"/>
    </row>
    <row r="3155" spans="28:29">
      <c r="AB3155" s="17"/>
      <c r="AC3155" s="17"/>
    </row>
    <row r="3156" spans="28:29">
      <c r="AB3156" s="17"/>
      <c r="AC3156" s="17"/>
    </row>
    <row r="3157" spans="28:29">
      <c r="AB3157" s="17"/>
      <c r="AC3157" s="17"/>
    </row>
    <row r="3158" spans="28:29">
      <c r="AB3158" s="17"/>
      <c r="AC3158" s="17"/>
    </row>
    <row r="3159" spans="28:29">
      <c r="AB3159" s="17"/>
      <c r="AC3159" s="17"/>
    </row>
    <row r="3160" spans="28:29">
      <c r="AB3160" s="17"/>
      <c r="AC3160" s="17"/>
    </row>
    <row r="3161" spans="28:29">
      <c r="AB3161" s="17"/>
      <c r="AC3161" s="17"/>
    </row>
    <row r="3162" spans="28:29">
      <c r="AB3162" s="17"/>
      <c r="AC3162" s="17"/>
    </row>
    <row r="3163" spans="28:29">
      <c r="AB3163" s="17"/>
      <c r="AC3163" s="17"/>
    </row>
    <row r="3164" spans="28:29">
      <c r="AB3164" s="17"/>
      <c r="AC3164" s="17"/>
    </row>
    <row r="3165" spans="28:29">
      <c r="AB3165" s="17"/>
      <c r="AC3165" s="17"/>
    </row>
    <row r="3166" spans="28:29">
      <c r="AB3166" s="17"/>
      <c r="AC3166" s="17"/>
    </row>
    <row r="3167" spans="28:29">
      <c r="AB3167" s="17"/>
      <c r="AC3167" s="17"/>
    </row>
    <row r="3168" spans="28:29">
      <c r="AB3168" s="17"/>
      <c r="AC3168" s="17"/>
    </row>
    <row r="3169" spans="28:29">
      <c r="AB3169" s="17"/>
      <c r="AC3169" s="17"/>
    </row>
    <row r="3170" spans="28:29">
      <c r="AB3170" s="17"/>
      <c r="AC3170" s="17"/>
    </row>
    <row r="3171" spans="28:29">
      <c r="AB3171" s="17"/>
      <c r="AC3171" s="17"/>
    </row>
    <row r="3172" spans="28:29">
      <c r="AB3172" s="17"/>
      <c r="AC3172" s="17"/>
    </row>
    <row r="3173" spans="28:29">
      <c r="AB3173" s="17"/>
      <c r="AC3173" s="17"/>
    </row>
    <row r="3174" spans="28:29">
      <c r="AB3174" s="17"/>
      <c r="AC3174" s="17"/>
    </row>
    <row r="3175" spans="28:29">
      <c r="AB3175" s="17"/>
      <c r="AC3175" s="17"/>
    </row>
    <row r="3176" spans="28:29">
      <c r="AB3176" s="17"/>
      <c r="AC3176" s="17"/>
    </row>
    <row r="3177" spans="28:29">
      <c r="AB3177" s="17"/>
      <c r="AC3177" s="17"/>
    </row>
    <row r="3178" spans="28:29">
      <c r="AB3178" s="17"/>
      <c r="AC3178" s="17"/>
    </row>
    <row r="3179" spans="28:29">
      <c r="AB3179" s="17"/>
      <c r="AC3179" s="17"/>
    </row>
    <row r="3180" spans="28:29">
      <c r="AB3180" s="17"/>
      <c r="AC3180" s="17"/>
    </row>
    <row r="3181" spans="28:29">
      <c r="AB3181" s="17"/>
      <c r="AC3181" s="17"/>
    </row>
    <row r="3182" spans="28:29">
      <c r="AB3182" s="17"/>
      <c r="AC3182" s="17"/>
    </row>
    <row r="3183" spans="28:29">
      <c r="AB3183" s="17"/>
      <c r="AC3183" s="17"/>
    </row>
    <row r="3184" spans="28:29">
      <c r="AB3184" s="17"/>
      <c r="AC3184" s="17"/>
    </row>
    <row r="3185" spans="28:29">
      <c r="AB3185" s="17"/>
      <c r="AC3185" s="17"/>
    </row>
    <row r="3186" spans="28:29">
      <c r="AB3186" s="17"/>
      <c r="AC3186" s="17"/>
    </row>
    <row r="3187" spans="28:29">
      <c r="AB3187" s="17"/>
      <c r="AC3187" s="17"/>
    </row>
    <row r="3188" spans="28:29">
      <c r="AB3188" s="17"/>
      <c r="AC3188" s="17"/>
    </row>
    <row r="3189" spans="28:29">
      <c r="AB3189" s="17"/>
      <c r="AC3189" s="17"/>
    </row>
    <row r="3190" spans="28:29">
      <c r="AB3190" s="17"/>
      <c r="AC3190" s="17"/>
    </row>
    <row r="3191" spans="28:29">
      <c r="AB3191" s="17"/>
      <c r="AC3191" s="17"/>
    </row>
    <row r="3192" spans="28:29">
      <c r="AB3192" s="17"/>
      <c r="AC3192" s="17"/>
    </row>
    <row r="3193" spans="28:29">
      <c r="AB3193" s="17"/>
      <c r="AC3193" s="17"/>
    </row>
    <row r="3194" spans="28:29">
      <c r="AB3194" s="17"/>
      <c r="AC3194" s="17"/>
    </row>
    <row r="3195" spans="28:29">
      <c r="AB3195" s="17"/>
      <c r="AC3195" s="17"/>
    </row>
    <row r="3196" spans="28:29">
      <c r="AB3196" s="17"/>
      <c r="AC3196" s="17"/>
    </row>
    <row r="3197" spans="28:29">
      <c r="AB3197" s="17"/>
      <c r="AC3197" s="17"/>
    </row>
    <row r="3198" spans="28:29">
      <c r="AB3198" s="17"/>
      <c r="AC3198" s="17"/>
    </row>
    <row r="3199" spans="28:29">
      <c r="AB3199" s="17"/>
      <c r="AC3199" s="17"/>
    </row>
    <row r="3200" spans="28:29">
      <c r="AB3200" s="17"/>
      <c r="AC3200" s="17"/>
    </row>
    <row r="3201" spans="28:29">
      <c r="AB3201" s="17"/>
      <c r="AC3201" s="17"/>
    </row>
    <row r="3202" spans="28:29">
      <c r="AB3202" s="17"/>
      <c r="AC3202" s="17"/>
    </row>
    <row r="3203" spans="28:29">
      <c r="AB3203" s="17"/>
      <c r="AC3203" s="17"/>
    </row>
    <row r="3204" spans="28:29">
      <c r="AB3204" s="17"/>
      <c r="AC3204" s="17"/>
    </row>
    <row r="3205" spans="28:29">
      <c r="AB3205" s="17"/>
      <c r="AC3205" s="17"/>
    </row>
    <row r="3206" spans="28:29">
      <c r="AB3206" s="17"/>
      <c r="AC3206" s="17"/>
    </row>
    <row r="3207" spans="28:29">
      <c r="AB3207" s="17"/>
      <c r="AC3207" s="17"/>
    </row>
    <row r="3208" spans="28:29">
      <c r="AB3208" s="17"/>
      <c r="AC3208" s="17"/>
    </row>
    <row r="3209" spans="28:29">
      <c r="AB3209" s="17"/>
      <c r="AC3209" s="17"/>
    </row>
    <row r="3210" spans="28:29">
      <c r="AB3210" s="17"/>
      <c r="AC3210" s="17"/>
    </row>
    <row r="3211" spans="28:29">
      <c r="AB3211" s="17"/>
      <c r="AC3211" s="17"/>
    </row>
    <row r="3212" spans="28:29">
      <c r="AB3212" s="17"/>
      <c r="AC3212" s="17"/>
    </row>
    <row r="3213" spans="28:29">
      <c r="AB3213" s="17"/>
      <c r="AC3213" s="17"/>
    </row>
    <row r="3214" spans="28:29">
      <c r="AB3214" s="17"/>
      <c r="AC3214" s="17"/>
    </row>
    <row r="3215" spans="28:29">
      <c r="AB3215" s="17"/>
      <c r="AC3215" s="17"/>
    </row>
    <row r="3216" spans="28:29">
      <c r="AB3216" s="17"/>
      <c r="AC3216" s="17"/>
    </row>
    <row r="3217" spans="28:29">
      <c r="AB3217" s="17"/>
      <c r="AC3217" s="17"/>
    </row>
    <row r="3218" spans="28:29">
      <c r="AB3218" s="17"/>
      <c r="AC3218" s="17"/>
    </row>
    <row r="3219" spans="28:29">
      <c r="AB3219" s="17"/>
      <c r="AC3219" s="17"/>
    </row>
    <row r="3220" spans="28:29">
      <c r="AB3220" s="17"/>
      <c r="AC3220" s="17"/>
    </row>
    <row r="3221" spans="28:29">
      <c r="AB3221" s="17"/>
      <c r="AC3221" s="17"/>
    </row>
    <row r="3222" spans="28:29">
      <c r="AB3222" s="17"/>
      <c r="AC3222" s="17"/>
    </row>
    <row r="3223" spans="28:29">
      <c r="AB3223" s="17"/>
      <c r="AC3223" s="17"/>
    </row>
    <row r="3224" spans="28:29">
      <c r="AB3224" s="17"/>
      <c r="AC3224" s="17"/>
    </row>
    <row r="3225" spans="28:29">
      <c r="AB3225" s="17"/>
      <c r="AC3225" s="17"/>
    </row>
    <row r="3226" spans="28:29">
      <c r="AB3226" s="17"/>
      <c r="AC3226" s="17"/>
    </row>
    <row r="3227" spans="28:29">
      <c r="AB3227" s="17"/>
      <c r="AC3227" s="17"/>
    </row>
    <row r="3228" spans="28:29">
      <c r="AB3228" s="17"/>
      <c r="AC3228" s="17"/>
    </row>
    <row r="3229" spans="28:29">
      <c r="AB3229" s="17"/>
      <c r="AC3229" s="17"/>
    </row>
    <row r="3230" spans="28:29">
      <c r="AB3230" s="17"/>
      <c r="AC3230" s="17"/>
    </row>
    <row r="3231" spans="28:29">
      <c r="AB3231" s="17"/>
      <c r="AC3231" s="17"/>
    </row>
    <row r="3232" spans="28:29">
      <c r="AB3232" s="17"/>
      <c r="AC3232" s="17"/>
    </row>
    <row r="3233" spans="28:29">
      <c r="AB3233" s="17"/>
      <c r="AC3233" s="17"/>
    </row>
    <row r="3234" spans="28:29">
      <c r="AB3234" s="17"/>
      <c r="AC3234" s="17"/>
    </row>
    <row r="3235" spans="28:29">
      <c r="AB3235" s="17"/>
      <c r="AC3235" s="17"/>
    </row>
    <row r="3236" spans="28:29">
      <c r="AB3236" s="17"/>
      <c r="AC3236" s="17"/>
    </row>
    <row r="3237" spans="28:29">
      <c r="AB3237" s="17"/>
      <c r="AC3237" s="17"/>
    </row>
    <row r="3238" spans="28:29">
      <c r="AB3238" s="17"/>
      <c r="AC3238" s="17"/>
    </row>
    <row r="3239" spans="28:29">
      <c r="AB3239" s="17"/>
      <c r="AC3239" s="17"/>
    </row>
    <row r="3240" spans="28:29">
      <c r="AB3240" s="17"/>
      <c r="AC3240" s="17"/>
    </row>
    <row r="3241" spans="28:29">
      <c r="AB3241" s="17"/>
      <c r="AC3241" s="17"/>
    </row>
    <row r="3242" spans="28:29">
      <c r="AB3242" s="17"/>
      <c r="AC3242" s="17"/>
    </row>
    <row r="3243" spans="28:29">
      <c r="AB3243" s="17"/>
      <c r="AC3243" s="17"/>
    </row>
    <row r="3244" spans="28:29">
      <c r="AB3244" s="17"/>
      <c r="AC3244" s="17"/>
    </row>
    <row r="3245" spans="28:29">
      <c r="AB3245" s="17"/>
      <c r="AC3245" s="17"/>
    </row>
    <row r="3246" spans="28:29">
      <c r="AB3246" s="17"/>
      <c r="AC3246" s="17"/>
    </row>
    <row r="3247" spans="28:29">
      <c r="AB3247" s="17"/>
      <c r="AC3247" s="17"/>
    </row>
    <row r="3248" spans="28:29">
      <c r="AB3248" s="17"/>
      <c r="AC3248" s="17"/>
    </row>
    <row r="3249" spans="28:29">
      <c r="AB3249" s="17"/>
      <c r="AC3249" s="17"/>
    </row>
    <row r="3250" spans="28:29">
      <c r="AB3250" s="17"/>
      <c r="AC3250" s="17"/>
    </row>
    <row r="3251" spans="28:29">
      <c r="AB3251" s="17"/>
      <c r="AC3251" s="17"/>
    </row>
    <row r="3252" spans="28:29">
      <c r="AB3252" s="17"/>
      <c r="AC3252" s="17"/>
    </row>
    <row r="3253" spans="28:29">
      <c r="AB3253" s="17"/>
      <c r="AC3253" s="17"/>
    </row>
    <row r="3254" spans="28:29">
      <c r="AB3254" s="17"/>
      <c r="AC3254" s="17"/>
    </row>
    <row r="3255" spans="28:29">
      <c r="AB3255" s="17"/>
      <c r="AC3255" s="17"/>
    </row>
    <row r="3256" spans="28:29">
      <c r="AB3256" s="17"/>
      <c r="AC3256" s="17"/>
    </row>
    <row r="3257" spans="28:29">
      <c r="AB3257" s="17"/>
      <c r="AC3257" s="17"/>
    </row>
    <row r="3258" spans="28:29">
      <c r="AB3258" s="17"/>
      <c r="AC3258" s="17"/>
    </row>
    <row r="3259" spans="28:29">
      <c r="AB3259" s="17"/>
      <c r="AC3259" s="17"/>
    </row>
    <row r="3260" spans="28:29">
      <c r="AB3260" s="17"/>
      <c r="AC3260" s="17"/>
    </row>
    <row r="3261" spans="28:29">
      <c r="AB3261" s="17"/>
      <c r="AC3261" s="17"/>
    </row>
    <row r="3262" spans="28:29">
      <c r="AB3262" s="17"/>
      <c r="AC3262" s="17"/>
    </row>
    <row r="3263" spans="28:29">
      <c r="AB3263" s="17"/>
      <c r="AC3263" s="17"/>
    </row>
    <row r="3264" spans="28:29">
      <c r="AB3264" s="17"/>
      <c r="AC3264" s="17"/>
    </row>
    <row r="3265" spans="28:29">
      <c r="AB3265" s="17"/>
      <c r="AC3265" s="17"/>
    </row>
    <row r="3266" spans="28:29">
      <c r="AB3266" s="17"/>
      <c r="AC3266" s="17"/>
    </row>
    <row r="3267" spans="28:29">
      <c r="AB3267" s="17"/>
      <c r="AC3267" s="17"/>
    </row>
    <row r="3268" spans="28:29">
      <c r="AB3268" s="17"/>
      <c r="AC3268" s="17"/>
    </row>
    <row r="3269" spans="28:29">
      <c r="AB3269" s="17"/>
      <c r="AC3269" s="17"/>
    </row>
    <row r="3270" spans="28:29">
      <c r="AB3270" s="17"/>
      <c r="AC3270" s="17"/>
    </row>
    <row r="3271" spans="28:29">
      <c r="AB3271" s="17"/>
      <c r="AC3271" s="17"/>
    </row>
    <row r="3272" spans="28:29">
      <c r="AB3272" s="17"/>
      <c r="AC3272" s="17"/>
    </row>
    <row r="3273" spans="28:29">
      <c r="AB3273" s="17"/>
      <c r="AC3273" s="17"/>
    </row>
    <row r="3274" spans="28:29">
      <c r="AB3274" s="17"/>
      <c r="AC3274" s="17"/>
    </row>
    <row r="3275" spans="28:29">
      <c r="AB3275" s="17"/>
      <c r="AC3275" s="17"/>
    </row>
    <row r="3276" spans="28:29">
      <c r="AB3276" s="17"/>
      <c r="AC3276" s="17"/>
    </row>
    <row r="3277" spans="28:29">
      <c r="AB3277" s="17"/>
      <c r="AC3277" s="17"/>
    </row>
    <row r="3278" spans="28:29">
      <c r="AB3278" s="17"/>
      <c r="AC3278" s="17"/>
    </row>
    <row r="3279" spans="28:29">
      <c r="AB3279" s="17"/>
      <c r="AC3279" s="17"/>
    </row>
    <row r="3280" spans="28:29">
      <c r="AB3280" s="17"/>
      <c r="AC3280" s="17"/>
    </row>
    <row r="3281" spans="28:29">
      <c r="AB3281" s="17"/>
      <c r="AC3281" s="17"/>
    </row>
    <row r="3282" spans="28:29">
      <c r="AB3282" s="17"/>
      <c r="AC3282" s="17"/>
    </row>
    <row r="3283" spans="28:29">
      <c r="AB3283" s="17"/>
      <c r="AC3283" s="17"/>
    </row>
    <row r="3284" spans="28:29">
      <c r="AB3284" s="17"/>
      <c r="AC3284" s="17"/>
    </row>
    <row r="3285" spans="28:29">
      <c r="AB3285" s="17"/>
      <c r="AC3285" s="17"/>
    </row>
    <row r="3286" spans="28:29">
      <c r="AB3286" s="17"/>
      <c r="AC3286" s="17"/>
    </row>
    <row r="3287" spans="28:29">
      <c r="AB3287" s="17"/>
      <c r="AC3287" s="17"/>
    </row>
    <row r="3288" spans="28:29">
      <c r="AB3288" s="17"/>
      <c r="AC3288" s="17"/>
    </row>
    <row r="3289" spans="28:29">
      <c r="AB3289" s="17"/>
      <c r="AC3289" s="17"/>
    </row>
    <row r="3290" spans="28:29">
      <c r="AB3290" s="17"/>
      <c r="AC3290" s="17"/>
    </row>
    <row r="3291" spans="28:29">
      <c r="AB3291" s="17"/>
      <c r="AC3291" s="17"/>
    </row>
    <row r="3292" spans="28:29">
      <c r="AB3292" s="17"/>
      <c r="AC3292" s="17"/>
    </row>
    <row r="3293" spans="28:29">
      <c r="AB3293" s="17"/>
      <c r="AC3293" s="17"/>
    </row>
    <row r="3294" spans="28:29">
      <c r="AB3294" s="17"/>
      <c r="AC3294" s="17"/>
    </row>
    <row r="3295" spans="28:29">
      <c r="AB3295" s="17"/>
      <c r="AC3295" s="17"/>
    </row>
    <row r="3296" spans="28:29">
      <c r="AB3296" s="17"/>
      <c r="AC3296" s="17"/>
    </row>
    <row r="3297" spans="28:29">
      <c r="AB3297" s="17"/>
      <c r="AC3297" s="17"/>
    </row>
    <row r="3298" spans="28:29">
      <c r="AB3298" s="17"/>
      <c r="AC3298" s="17"/>
    </row>
    <row r="3299" spans="28:29">
      <c r="AB3299" s="17"/>
      <c r="AC3299" s="17"/>
    </row>
    <row r="3300" spans="28:29">
      <c r="AB3300" s="17"/>
      <c r="AC3300" s="17"/>
    </row>
    <row r="3301" spans="28:29">
      <c r="AB3301" s="17"/>
      <c r="AC3301" s="17"/>
    </row>
    <row r="3302" spans="28:29">
      <c r="AB3302" s="17"/>
      <c r="AC3302" s="17"/>
    </row>
    <row r="3303" spans="28:29">
      <c r="AB3303" s="17"/>
      <c r="AC3303" s="17"/>
    </row>
    <row r="3304" spans="28:29">
      <c r="AB3304" s="17"/>
      <c r="AC3304" s="17"/>
    </row>
    <row r="3305" spans="28:29">
      <c r="AB3305" s="17"/>
      <c r="AC3305" s="17"/>
    </row>
    <row r="3306" spans="28:29">
      <c r="AB3306" s="17"/>
      <c r="AC3306" s="17"/>
    </row>
    <row r="3307" spans="28:29">
      <c r="AB3307" s="17"/>
      <c r="AC3307" s="17"/>
    </row>
    <row r="3308" spans="28:29">
      <c r="AB3308" s="17"/>
      <c r="AC3308" s="17"/>
    </row>
    <row r="3309" spans="28:29">
      <c r="AB3309" s="17"/>
      <c r="AC3309" s="17"/>
    </row>
    <row r="3310" spans="28:29">
      <c r="AB3310" s="17"/>
      <c r="AC3310" s="17"/>
    </row>
    <row r="3311" spans="28:29">
      <c r="AB3311" s="17"/>
      <c r="AC3311" s="17"/>
    </row>
    <row r="3312" spans="28:29">
      <c r="AB3312" s="17"/>
      <c r="AC3312" s="17"/>
    </row>
    <row r="3313" spans="28:29">
      <c r="AB3313" s="17"/>
      <c r="AC3313" s="17"/>
    </row>
    <row r="3314" spans="28:29">
      <c r="AB3314" s="17"/>
      <c r="AC3314" s="17"/>
    </row>
    <row r="3315" spans="28:29">
      <c r="AB3315" s="17"/>
      <c r="AC3315" s="17"/>
    </row>
    <row r="3316" spans="28:29">
      <c r="AB3316" s="17"/>
      <c r="AC3316" s="17"/>
    </row>
    <row r="3317" spans="28:29">
      <c r="AB3317" s="17"/>
      <c r="AC3317" s="17"/>
    </row>
    <row r="3318" spans="28:29">
      <c r="AB3318" s="17"/>
      <c r="AC3318" s="17"/>
    </row>
    <row r="3319" spans="28:29">
      <c r="AB3319" s="17"/>
      <c r="AC3319" s="17"/>
    </row>
    <row r="3320" spans="28:29">
      <c r="AB3320" s="17"/>
      <c r="AC3320" s="17"/>
    </row>
    <row r="3321" spans="28:29">
      <c r="AB3321" s="17"/>
      <c r="AC3321" s="17"/>
    </row>
    <row r="3322" spans="28:29">
      <c r="AB3322" s="17"/>
      <c r="AC3322" s="17"/>
    </row>
    <row r="3323" spans="28:29">
      <c r="AB3323" s="17"/>
      <c r="AC3323" s="17"/>
    </row>
    <row r="3324" spans="28:29">
      <c r="AB3324" s="17"/>
      <c r="AC3324" s="17"/>
    </row>
    <row r="3325" spans="28:29">
      <c r="AB3325" s="17"/>
      <c r="AC3325" s="17"/>
    </row>
    <row r="3326" spans="28:29">
      <c r="AB3326" s="17"/>
      <c r="AC3326" s="17"/>
    </row>
    <row r="3327" spans="28:29">
      <c r="AB3327" s="17"/>
      <c r="AC3327" s="17"/>
    </row>
    <row r="3328" spans="28:29">
      <c r="AB3328" s="17"/>
      <c r="AC3328" s="17"/>
    </row>
    <row r="3329" spans="28:29">
      <c r="AB3329" s="17"/>
      <c r="AC3329" s="17"/>
    </row>
    <row r="3330" spans="28:29">
      <c r="AB3330" s="17"/>
      <c r="AC3330" s="17"/>
    </row>
    <row r="3331" spans="28:29">
      <c r="AB3331" s="17"/>
      <c r="AC3331" s="17"/>
    </row>
    <row r="3332" spans="28:29">
      <c r="AB3332" s="17"/>
      <c r="AC3332" s="17"/>
    </row>
    <row r="3333" spans="28:29">
      <c r="AB3333" s="17"/>
      <c r="AC3333" s="17"/>
    </row>
    <row r="3334" spans="28:29">
      <c r="AB3334" s="17"/>
      <c r="AC3334" s="17"/>
    </row>
    <row r="3335" spans="28:29">
      <c r="AB3335" s="17"/>
      <c r="AC3335" s="17"/>
    </row>
    <row r="3336" spans="28:29">
      <c r="AB3336" s="17"/>
      <c r="AC3336" s="17"/>
    </row>
    <row r="3337" spans="28:29">
      <c r="AB3337" s="17"/>
      <c r="AC3337" s="17"/>
    </row>
    <row r="3338" spans="28:29">
      <c r="AB3338" s="17"/>
      <c r="AC3338" s="17"/>
    </row>
    <row r="3339" spans="28:29">
      <c r="AB3339" s="17"/>
      <c r="AC3339" s="17"/>
    </row>
    <row r="3340" spans="28:29">
      <c r="AB3340" s="17"/>
      <c r="AC3340" s="17"/>
    </row>
    <row r="3341" spans="28:29">
      <c r="AB3341" s="17"/>
      <c r="AC3341" s="17"/>
    </row>
    <row r="3342" spans="28:29">
      <c r="AB3342" s="17"/>
      <c r="AC3342" s="17"/>
    </row>
    <row r="3343" spans="28:29">
      <c r="AB3343" s="17"/>
      <c r="AC3343" s="17"/>
    </row>
    <row r="3344" spans="28:29">
      <c r="AB3344" s="17"/>
      <c r="AC3344" s="17"/>
    </row>
    <row r="3345" spans="28:29">
      <c r="AB3345" s="17"/>
      <c r="AC3345" s="17"/>
    </row>
    <row r="3346" spans="28:29">
      <c r="AB3346" s="17"/>
      <c r="AC3346" s="17"/>
    </row>
    <row r="3347" spans="28:29">
      <c r="AB3347" s="17"/>
      <c r="AC3347" s="17"/>
    </row>
    <row r="3348" spans="28:29">
      <c r="AB3348" s="17"/>
      <c r="AC3348" s="17"/>
    </row>
    <row r="3349" spans="28:29">
      <c r="AB3349" s="17"/>
      <c r="AC3349" s="17"/>
    </row>
    <row r="3350" spans="28:29">
      <c r="AB3350" s="17"/>
      <c r="AC3350" s="17"/>
    </row>
    <row r="3351" spans="28:29">
      <c r="AB3351" s="17"/>
      <c r="AC3351" s="17"/>
    </row>
    <row r="3352" spans="28:29">
      <c r="AB3352" s="17"/>
      <c r="AC3352" s="17"/>
    </row>
    <row r="3353" spans="28:29">
      <c r="AB3353" s="17"/>
      <c r="AC3353" s="17"/>
    </row>
    <row r="3354" spans="28:29">
      <c r="AB3354" s="17"/>
      <c r="AC3354" s="17"/>
    </row>
    <row r="3355" spans="28:29">
      <c r="AB3355" s="17"/>
      <c r="AC3355" s="17"/>
    </row>
    <row r="3356" spans="28:29">
      <c r="AB3356" s="17"/>
      <c r="AC3356" s="17"/>
    </row>
    <row r="3357" spans="28:29">
      <c r="AB3357" s="17"/>
      <c r="AC3357" s="17"/>
    </row>
    <row r="3358" spans="28:29">
      <c r="AB3358" s="17"/>
      <c r="AC3358" s="17"/>
    </row>
    <row r="3359" spans="28:29">
      <c r="AB3359" s="17"/>
      <c r="AC3359" s="17"/>
    </row>
    <row r="3360" spans="28:29">
      <c r="AB3360" s="17"/>
      <c r="AC3360" s="17"/>
    </row>
    <row r="3361" spans="28:29">
      <c r="AB3361" s="17"/>
      <c r="AC3361" s="17"/>
    </row>
    <row r="3362" spans="28:29">
      <c r="AB3362" s="17"/>
      <c r="AC3362" s="17"/>
    </row>
  </sheetData>
  <phoneticPr fontId="0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69" orientation="landscape" horizontalDpi="300" verticalDpi="300" r:id="rId1"/>
  <headerFooter alignWithMargins="0">
    <oddFooter>&amp;L&amp;"Eterna,Italic"&amp;7Departamento de Custos e Obras
Divisão de Custos e Orçamenntos
&amp;F</oddFooter>
  </headerFooter>
  <colBreaks count="1" manualBreakCount="1">
    <brk id="8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914</vt:i4>
      </vt:variant>
    </vt:vector>
  </HeadingPairs>
  <TitlesOfParts>
    <vt:vector size="920" baseType="lpstr">
      <vt:lpstr>Planilha</vt:lpstr>
      <vt:lpstr>Resumo</vt:lpstr>
      <vt:lpstr>Fisico</vt:lpstr>
      <vt:lpstr>Financeiro</vt:lpstr>
      <vt:lpstr>Faturamento Mensal</vt:lpstr>
      <vt:lpstr>Faturamento Acumulado</vt:lpstr>
      <vt:lpstr>Financeiro!Area_de_impressao</vt:lpstr>
      <vt:lpstr>Fisico!Area_de_impressao</vt:lpstr>
      <vt:lpstr>Planilha!Area_de_impressao</vt:lpstr>
      <vt:lpstr>Resumo!Area_de_impressao</vt:lpstr>
      <vt:lpstr>BDI</vt:lpstr>
      <vt:lpstr>F_01_120</vt:lpstr>
      <vt:lpstr>F_01_150</vt:lpstr>
      <vt:lpstr>F_01_180</vt:lpstr>
      <vt:lpstr>F_01_210</vt:lpstr>
      <vt:lpstr>F_01_240</vt:lpstr>
      <vt:lpstr>F_01_270</vt:lpstr>
      <vt:lpstr>F_01_30</vt:lpstr>
      <vt:lpstr>F_01_300</vt:lpstr>
      <vt:lpstr>F_01_330</vt:lpstr>
      <vt:lpstr>F_01_360</vt:lpstr>
      <vt:lpstr>F_01_390</vt:lpstr>
      <vt:lpstr>F_01_420</vt:lpstr>
      <vt:lpstr>F_01_450</vt:lpstr>
      <vt:lpstr>F_01_480</vt:lpstr>
      <vt:lpstr>F_01_510</vt:lpstr>
      <vt:lpstr>F_01_540</vt:lpstr>
      <vt:lpstr>F_01_570</vt:lpstr>
      <vt:lpstr>F_01_60</vt:lpstr>
      <vt:lpstr>F_01_600</vt:lpstr>
      <vt:lpstr>F_01_630</vt:lpstr>
      <vt:lpstr>F_01_660</vt:lpstr>
      <vt:lpstr>F_01_690</vt:lpstr>
      <vt:lpstr>F_01_720</vt:lpstr>
      <vt:lpstr>F_01_90</vt:lpstr>
      <vt:lpstr>F_02_120</vt:lpstr>
      <vt:lpstr>F_02_150</vt:lpstr>
      <vt:lpstr>F_02_180</vt:lpstr>
      <vt:lpstr>F_02_210</vt:lpstr>
      <vt:lpstr>F_02_240</vt:lpstr>
      <vt:lpstr>F_02_270</vt:lpstr>
      <vt:lpstr>F_02_30</vt:lpstr>
      <vt:lpstr>F_02_300</vt:lpstr>
      <vt:lpstr>F_02_330</vt:lpstr>
      <vt:lpstr>F_02_360</vt:lpstr>
      <vt:lpstr>F_02_390</vt:lpstr>
      <vt:lpstr>F_02_420</vt:lpstr>
      <vt:lpstr>F_02_450</vt:lpstr>
      <vt:lpstr>F_02_480</vt:lpstr>
      <vt:lpstr>F_02_510</vt:lpstr>
      <vt:lpstr>F_02_540</vt:lpstr>
      <vt:lpstr>F_02_570</vt:lpstr>
      <vt:lpstr>F_02_60</vt:lpstr>
      <vt:lpstr>F_02_600</vt:lpstr>
      <vt:lpstr>F_02_630</vt:lpstr>
      <vt:lpstr>F_02_660</vt:lpstr>
      <vt:lpstr>F_02_690</vt:lpstr>
      <vt:lpstr>F_02_720</vt:lpstr>
      <vt:lpstr>F_02_90</vt:lpstr>
      <vt:lpstr>F_03_120</vt:lpstr>
      <vt:lpstr>F_03_150</vt:lpstr>
      <vt:lpstr>F_03_180</vt:lpstr>
      <vt:lpstr>F_03_210</vt:lpstr>
      <vt:lpstr>F_03_240</vt:lpstr>
      <vt:lpstr>F_03_270</vt:lpstr>
      <vt:lpstr>F_03_30</vt:lpstr>
      <vt:lpstr>F_03_300</vt:lpstr>
      <vt:lpstr>F_03_330</vt:lpstr>
      <vt:lpstr>F_03_360</vt:lpstr>
      <vt:lpstr>F_03_390</vt:lpstr>
      <vt:lpstr>F_03_420</vt:lpstr>
      <vt:lpstr>F_03_450</vt:lpstr>
      <vt:lpstr>F_03_480</vt:lpstr>
      <vt:lpstr>F_03_510</vt:lpstr>
      <vt:lpstr>F_03_540</vt:lpstr>
      <vt:lpstr>F_03_570</vt:lpstr>
      <vt:lpstr>F_03_60</vt:lpstr>
      <vt:lpstr>F_03_600</vt:lpstr>
      <vt:lpstr>F_03_630</vt:lpstr>
      <vt:lpstr>F_03_660</vt:lpstr>
      <vt:lpstr>F_03_690</vt:lpstr>
      <vt:lpstr>F_03_720</vt:lpstr>
      <vt:lpstr>F_03_90</vt:lpstr>
      <vt:lpstr>F_04_120</vt:lpstr>
      <vt:lpstr>F_04_150</vt:lpstr>
      <vt:lpstr>F_04_180</vt:lpstr>
      <vt:lpstr>F_04_210</vt:lpstr>
      <vt:lpstr>F_04_240</vt:lpstr>
      <vt:lpstr>F_04_270</vt:lpstr>
      <vt:lpstr>F_04_30</vt:lpstr>
      <vt:lpstr>F_04_300</vt:lpstr>
      <vt:lpstr>F_04_330</vt:lpstr>
      <vt:lpstr>F_04_360</vt:lpstr>
      <vt:lpstr>F_04_390</vt:lpstr>
      <vt:lpstr>F_04_420</vt:lpstr>
      <vt:lpstr>F_04_450</vt:lpstr>
      <vt:lpstr>F_04_480</vt:lpstr>
      <vt:lpstr>F_04_510</vt:lpstr>
      <vt:lpstr>F_04_540</vt:lpstr>
      <vt:lpstr>F_04_570</vt:lpstr>
      <vt:lpstr>F_04_60</vt:lpstr>
      <vt:lpstr>F_04_600</vt:lpstr>
      <vt:lpstr>F_04_630</vt:lpstr>
      <vt:lpstr>F_04_660</vt:lpstr>
      <vt:lpstr>F_04_690</vt:lpstr>
      <vt:lpstr>F_04_720</vt:lpstr>
      <vt:lpstr>F_04_90</vt:lpstr>
      <vt:lpstr>F_05_120</vt:lpstr>
      <vt:lpstr>F_05_150</vt:lpstr>
      <vt:lpstr>F_05_180</vt:lpstr>
      <vt:lpstr>F_05_210</vt:lpstr>
      <vt:lpstr>F_05_240</vt:lpstr>
      <vt:lpstr>F_05_270</vt:lpstr>
      <vt:lpstr>F_05_30</vt:lpstr>
      <vt:lpstr>F_05_300</vt:lpstr>
      <vt:lpstr>F_05_330</vt:lpstr>
      <vt:lpstr>F_05_360</vt:lpstr>
      <vt:lpstr>F_05_390</vt:lpstr>
      <vt:lpstr>F_05_420</vt:lpstr>
      <vt:lpstr>F_05_450</vt:lpstr>
      <vt:lpstr>F_05_480</vt:lpstr>
      <vt:lpstr>F_05_510</vt:lpstr>
      <vt:lpstr>F_05_540</vt:lpstr>
      <vt:lpstr>F_05_570</vt:lpstr>
      <vt:lpstr>F_05_60</vt:lpstr>
      <vt:lpstr>F_05_600</vt:lpstr>
      <vt:lpstr>F_05_630</vt:lpstr>
      <vt:lpstr>F_05_660</vt:lpstr>
      <vt:lpstr>F_05_690</vt:lpstr>
      <vt:lpstr>F_05_720</vt:lpstr>
      <vt:lpstr>F_05_90</vt:lpstr>
      <vt:lpstr>F_06_120</vt:lpstr>
      <vt:lpstr>F_06_150</vt:lpstr>
      <vt:lpstr>F_06_180</vt:lpstr>
      <vt:lpstr>F_06_210</vt:lpstr>
      <vt:lpstr>F_06_240</vt:lpstr>
      <vt:lpstr>F_06_270</vt:lpstr>
      <vt:lpstr>F_06_30</vt:lpstr>
      <vt:lpstr>F_06_300</vt:lpstr>
      <vt:lpstr>F_06_330</vt:lpstr>
      <vt:lpstr>F_06_360</vt:lpstr>
      <vt:lpstr>F_06_390</vt:lpstr>
      <vt:lpstr>F_06_420</vt:lpstr>
      <vt:lpstr>F_06_450</vt:lpstr>
      <vt:lpstr>F_06_480</vt:lpstr>
      <vt:lpstr>F_06_510</vt:lpstr>
      <vt:lpstr>F_06_540</vt:lpstr>
      <vt:lpstr>F_06_570</vt:lpstr>
      <vt:lpstr>F_06_60</vt:lpstr>
      <vt:lpstr>F_06_600</vt:lpstr>
      <vt:lpstr>F_06_630</vt:lpstr>
      <vt:lpstr>F_06_660</vt:lpstr>
      <vt:lpstr>F_06_690</vt:lpstr>
      <vt:lpstr>F_06_720</vt:lpstr>
      <vt:lpstr>F_06_90</vt:lpstr>
      <vt:lpstr>F_07_120</vt:lpstr>
      <vt:lpstr>F_07_150</vt:lpstr>
      <vt:lpstr>F_07_180</vt:lpstr>
      <vt:lpstr>F_07_210</vt:lpstr>
      <vt:lpstr>F_07_240</vt:lpstr>
      <vt:lpstr>F_07_270</vt:lpstr>
      <vt:lpstr>F_07_30</vt:lpstr>
      <vt:lpstr>F_07_300</vt:lpstr>
      <vt:lpstr>F_07_330</vt:lpstr>
      <vt:lpstr>F_07_360</vt:lpstr>
      <vt:lpstr>F_07_390</vt:lpstr>
      <vt:lpstr>F_07_420</vt:lpstr>
      <vt:lpstr>F_07_450</vt:lpstr>
      <vt:lpstr>F_07_480</vt:lpstr>
      <vt:lpstr>F_07_510</vt:lpstr>
      <vt:lpstr>F_07_540</vt:lpstr>
      <vt:lpstr>F_07_570</vt:lpstr>
      <vt:lpstr>F_07_60</vt:lpstr>
      <vt:lpstr>F_07_600</vt:lpstr>
      <vt:lpstr>F_07_630</vt:lpstr>
      <vt:lpstr>F_07_660</vt:lpstr>
      <vt:lpstr>F_07_690</vt:lpstr>
      <vt:lpstr>F_07_720</vt:lpstr>
      <vt:lpstr>F_07_90</vt:lpstr>
      <vt:lpstr>F_08_120</vt:lpstr>
      <vt:lpstr>F_08_150</vt:lpstr>
      <vt:lpstr>F_08_180</vt:lpstr>
      <vt:lpstr>F_08_210</vt:lpstr>
      <vt:lpstr>F_08_240</vt:lpstr>
      <vt:lpstr>F_08_270</vt:lpstr>
      <vt:lpstr>F_08_30</vt:lpstr>
      <vt:lpstr>F_08_300</vt:lpstr>
      <vt:lpstr>F_08_330</vt:lpstr>
      <vt:lpstr>F_08_360</vt:lpstr>
      <vt:lpstr>F_08_390</vt:lpstr>
      <vt:lpstr>F_08_420</vt:lpstr>
      <vt:lpstr>F_08_450</vt:lpstr>
      <vt:lpstr>F_08_480</vt:lpstr>
      <vt:lpstr>F_08_510</vt:lpstr>
      <vt:lpstr>F_08_540</vt:lpstr>
      <vt:lpstr>F_08_570</vt:lpstr>
      <vt:lpstr>F_08_60</vt:lpstr>
      <vt:lpstr>F_08_600</vt:lpstr>
      <vt:lpstr>F_08_630</vt:lpstr>
      <vt:lpstr>F_08_660</vt:lpstr>
      <vt:lpstr>F_08_690</vt:lpstr>
      <vt:lpstr>F_08_720</vt:lpstr>
      <vt:lpstr>F_08_90</vt:lpstr>
      <vt:lpstr>F_09_120</vt:lpstr>
      <vt:lpstr>F_09_150</vt:lpstr>
      <vt:lpstr>F_09_180</vt:lpstr>
      <vt:lpstr>F_09_210</vt:lpstr>
      <vt:lpstr>F_09_240</vt:lpstr>
      <vt:lpstr>F_09_270</vt:lpstr>
      <vt:lpstr>F_09_30</vt:lpstr>
      <vt:lpstr>F_09_300</vt:lpstr>
      <vt:lpstr>F_09_330</vt:lpstr>
      <vt:lpstr>F_09_360</vt:lpstr>
      <vt:lpstr>F_09_390</vt:lpstr>
      <vt:lpstr>F_09_420</vt:lpstr>
      <vt:lpstr>F_09_450</vt:lpstr>
      <vt:lpstr>F_09_480</vt:lpstr>
      <vt:lpstr>F_09_510</vt:lpstr>
      <vt:lpstr>F_09_540</vt:lpstr>
      <vt:lpstr>F_09_570</vt:lpstr>
      <vt:lpstr>F_09_60</vt:lpstr>
      <vt:lpstr>F_09_600</vt:lpstr>
      <vt:lpstr>F_09_630</vt:lpstr>
      <vt:lpstr>F_09_660</vt:lpstr>
      <vt:lpstr>F_09_690</vt:lpstr>
      <vt:lpstr>F_09_720</vt:lpstr>
      <vt:lpstr>F_09_90</vt:lpstr>
      <vt:lpstr>F_10_120</vt:lpstr>
      <vt:lpstr>F_10_150</vt:lpstr>
      <vt:lpstr>F_10_180</vt:lpstr>
      <vt:lpstr>F_10_210</vt:lpstr>
      <vt:lpstr>F_10_240</vt:lpstr>
      <vt:lpstr>F_10_270</vt:lpstr>
      <vt:lpstr>F_10_30</vt:lpstr>
      <vt:lpstr>F_10_300</vt:lpstr>
      <vt:lpstr>F_10_330</vt:lpstr>
      <vt:lpstr>F_10_360</vt:lpstr>
      <vt:lpstr>F_10_390</vt:lpstr>
      <vt:lpstr>F_10_420</vt:lpstr>
      <vt:lpstr>F_10_450</vt:lpstr>
      <vt:lpstr>F_10_480</vt:lpstr>
      <vt:lpstr>F_10_510</vt:lpstr>
      <vt:lpstr>F_10_540</vt:lpstr>
      <vt:lpstr>F_10_570</vt:lpstr>
      <vt:lpstr>F_10_60</vt:lpstr>
      <vt:lpstr>F_10_600</vt:lpstr>
      <vt:lpstr>F_10_630</vt:lpstr>
      <vt:lpstr>F_10_660</vt:lpstr>
      <vt:lpstr>F_10_690</vt:lpstr>
      <vt:lpstr>F_10_720</vt:lpstr>
      <vt:lpstr>F_10_90</vt:lpstr>
      <vt:lpstr>F_11_120</vt:lpstr>
      <vt:lpstr>F_11_150</vt:lpstr>
      <vt:lpstr>F_11_180</vt:lpstr>
      <vt:lpstr>F_11_210</vt:lpstr>
      <vt:lpstr>F_11_240</vt:lpstr>
      <vt:lpstr>F_11_270</vt:lpstr>
      <vt:lpstr>F_11_30</vt:lpstr>
      <vt:lpstr>F_11_300</vt:lpstr>
      <vt:lpstr>F_11_330</vt:lpstr>
      <vt:lpstr>F_11_360</vt:lpstr>
      <vt:lpstr>F_11_390</vt:lpstr>
      <vt:lpstr>F_11_420</vt:lpstr>
      <vt:lpstr>F_11_450</vt:lpstr>
      <vt:lpstr>F_11_480</vt:lpstr>
      <vt:lpstr>F_11_510</vt:lpstr>
      <vt:lpstr>F_11_540</vt:lpstr>
      <vt:lpstr>F_11_570</vt:lpstr>
      <vt:lpstr>F_11_60</vt:lpstr>
      <vt:lpstr>F_11_600</vt:lpstr>
      <vt:lpstr>F_11_630</vt:lpstr>
      <vt:lpstr>F_11_660</vt:lpstr>
      <vt:lpstr>F_11_690</vt:lpstr>
      <vt:lpstr>F_11_720</vt:lpstr>
      <vt:lpstr>F_11_90</vt:lpstr>
      <vt:lpstr>F_12_120</vt:lpstr>
      <vt:lpstr>F_12_150</vt:lpstr>
      <vt:lpstr>F_12_180</vt:lpstr>
      <vt:lpstr>F_12_210</vt:lpstr>
      <vt:lpstr>F_12_240</vt:lpstr>
      <vt:lpstr>F_12_270</vt:lpstr>
      <vt:lpstr>F_12_30</vt:lpstr>
      <vt:lpstr>F_12_300</vt:lpstr>
      <vt:lpstr>F_12_330</vt:lpstr>
      <vt:lpstr>F_12_360</vt:lpstr>
      <vt:lpstr>F_12_390</vt:lpstr>
      <vt:lpstr>F_12_420</vt:lpstr>
      <vt:lpstr>F_12_450</vt:lpstr>
      <vt:lpstr>F_12_480</vt:lpstr>
      <vt:lpstr>F_12_510</vt:lpstr>
      <vt:lpstr>F_12_540</vt:lpstr>
      <vt:lpstr>F_12_570</vt:lpstr>
      <vt:lpstr>F_12_60</vt:lpstr>
      <vt:lpstr>F_12_600</vt:lpstr>
      <vt:lpstr>F_12_630</vt:lpstr>
      <vt:lpstr>F_12_660</vt:lpstr>
      <vt:lpstr>F_12_690</vt:lpstr>
      <vt:lpstr>F_12_720</vt:lpstr>
      <vt:lpstr>F_12_90</vt:lpstr>
      <vt:lpstr>F_13_120</vt:lpstr>
      <vt:lpstr>F_13_150</vt:lpstr>
      <vt:lpstr>F_13_180</vt:lpstr>
      <vt:lpstr>F_13_210</vt:lpstr>
      <vt:lpstr>F_13_240</vt:lpstr>
      <vt:lpstr>F_13_270</vt:lpstr>
      <vt:lpstr>F_13_30</vt:lpstr>
      <vt:lpstr>F_13_300</vt:lpstr>
      <vt:lpstr>F_13_330</vt:lpstr>
      <vt:lpstr>F_13_360</vt:lpstr>
      <vt:lpstr>F_13_390</vt:lpstr>
      <vt:lpstr>F_13_420</vt:lpstr>
      <vt:lpstr>F_13_450</vt:lpstr>
      <vt:lpstr>F_13_480</vt:lpstr>
      <vt:lpstr>F_13_510</vt:lpstr>
      <vt:lpstr>F_13_540</vt:lpstr>
      <vt:lpstr>F_13_570</vt:lpstr>
      <vt:lpstr>F_13_60</vt:lpstr>
      <vt:lpstr>F_13_600</vt:lpstr>
      <vt:lpstr>F_13_630</vt:lpstr>
      <vt:lpstr>F_13_660</vt:lpstr>
      <vt:lpstr>F_13_690</vt:lpstr>
      <vt:lpstr>F_13_720</vt:lpstr>
      <vt:lpstr>F_13_90</vt:lpstr>
      <vt:lpstr>F_14_120</vt:lpstr>
      <vt:lpstr>F_14_150</vt:lpstr>
      <vt:lpstr>F_14_180</vt:lpstr>
      <vt:lpstr>F_14_210</vt:lpstr>
      <vt:lpstr>F_14_240</vt:lpstr>
      <vt:lpstr>F_14_270</vt:lpstr>
      <vt:lpstr>F_14_30</vt:lpstr>
      <vt:lpstr>F_14_300</vt:lpstr>
      <vt:lpstr>F_14_330</vt:lpstr>
      <vt:lpstr>F_14_360</vt:lpstr>
      <vt:lpstr>F_14_390</vt:lpstr>
      <vt:lpstr>F_14_420</vt:lpstr>
      <vt:lpstr>F_14_450</vt:lpstr>
      <vt:lpstr>F_14_480</vt:lpstr>
      <vt:lpstr>F_14_510</vt:lpstr>
      <vt:lpstr>F_14_540</vt:lpstr>
      <vt:lpstr>F_14_570</vt:lpstr>
      <vt:lpstr>F_14_60</vt:lpstr>
      <vt:lpstr>F_14_600</vt:lpstr>
      <vt:lpstr>F_14_630</vt:lpstr>
      <vt:lpstr>F_14_660</vt:lpstr>
      <vt:lpstr>F_14_690</vt:lpstr>
      <vt:lpstr>F_14_720</vt:lpstr>
      <vt:lpstr>F_14_90</vt:lpstr>
      <vt:lpstr>F_15_120</vt:lpstr>
      <vt:lpstr>F_15_150</vt:lpstr>
      <vt:lpstr>F_15_180</vt:lpstr>
      <vt:lpstr>F_15_210</vt:lpstr>
      <vt:lpstr>F_15_240</vt:lpstr>
      <vt:lpstr>F_15_270</vt:lpstr>
      <vt:lpstr>F_15_30</vt:lpstr>
      <vt:lpstr>F_15_300</vt:lpstr>
      <vt:lpstr>F_15_330</vt:lpstr>
      <vt:lpstr>F_15_360</vt:lpstr>
      <vt:lpstr>F_15_390</vt:lpstr>
      <vt:lpstr>F_15_420</vt:lpstr>
      <vt:lpstr>F_15_450</vt:lpstr>
      <vt:lpstr>F_15_480</vt:lpstr>
      <vt:lpstr>F_15_510</vt:lpstr>
      <vt:lpstr>F_15_540</vt:lpstr>
      <vt:lpstr>F_15_570</vt:lpstr>
      <vt:lpstr>F_15_60</vt:lpstr>
      <vt:lpstr>F_15_600</vt:lpstr>
      <vt:lpstr>F_15_630</vt:lpstr>
      <vt:lpstr>F_15_660</vt:lpstr>
      <vt:lpstr>F_15_690</vt:lpstr>
      <vt:lpstr>F_15_720</vt:lpstr>
      <vt:lpstr>F_15_90</vt:lpstr>
      <vt:lpstr>F_16_120</vt:lpstr>
      <vt:lpstr>F_16_150</vt:lpstr>
      <vt:lpstr>F_16_180</vt:lpstr>
      <vt:lpstr>F_16_210</vt:lpstr>
      <vt:lpstr>F_16_240</vt:lpstr>
      <vt:lpstr>F_16_270</vt:lpstr>
      <vt:lpstr>F_16_30</vt:lpstr>
      <vt:lpstr>F_16_300</vt:lpstr>
      <vt:lpstr>F_16_330</vt:lpstr>
      <vt:lpstr>F_16_360</vt:lpstr>
      <vt:lpstr>F_16_390</vt:lpstr>
      <vt:lpstr>F_16_420</vt:lpstr>
      <vt:lpstr>F_16_450</vt:lpstr>
      <vt:lpstr>F_16_480</vt:lpstr>
      <vt:lpstr>F_16_510</vt:lpstr>
      <vt:lpstr>F_16_540</vt:lpstr>
      <vt:lpstr>F_16_570</vt:lpstr>
      <vt:lpstr>F_16_60</vt:lpstr>
      <vt:lpstr>F_16_600</vt:lpstr>
      <vt:lpstr>F_16_630</vt:lpstr>
      <vt:lpstr>F_16_660</vt:lpstr>
      <vt:lpstr>F_16_690</vt:lpstr>
      <vt:lpstr>F_16_720</vt:lpstr>
      <vt:lpstr>F_16_90</vt:lpstr>
      <vt:lpstr>F_17_120</vt:lpstr>
      <vt:lpstr>F_17_150</vt:lpstr>
      <vt:lpstr>F_17_180</vt:lpstr>
      <vt:lpstr>F_17_210</vt:lpstr>
      <vt:lpstr>F_17_240</vt:lpstr>
      <vt:lpstr>F_17_270</vt:lpstr>
      <vt:lpstr>F_17_30</vt:lpstr>
      <vt:lpstr>F_17_300</vt:lpstr>
      <vt:lpstr>F_17_330</vt:lpstr>
      <vt:lpstr>F_17_360</vt:lpstr>
      <vt:lpstr>F_17_390</vt:lpstr>
      <vt:lpstr>F_17_420</vt:lpstr>
      <vt:lpstr>F_17_450</vt:lpstr>
      <vt:lpstr>F_17_480</vt:lpstr>
      <vt:lpstr>F_17_510</vt:lpstr>
      <vt:lpstr>F_17_540</vt:lpstr>
      <vt:lpstr>F_17_570</vt:lpstr>
      <vt:lpstr>F_17_60</vt:lpstr>
      <vt:lpstr>F_17_600</vt:lpstr>
      <vt:lpstr>F_17_630</vt:lpstr>
      <vt:lpstr>F_17_660</vt:lpstr>
      <vt:lpstr>F_17_690</vt:lpstr>
      <vt:lpstr>F_17_720</vt:lpstr>
      <vt:lpstr>F_17_90</vt:lpstr>
      <vt:lpstr>F_18_120</vt:lpstr>
      <vt:lpstr>F_18_150</vt:lpstr>
      <vt:lpstr>F_18_180</vt:lpstr>
      <vt:lpstr>F_18_210</vt:lpstr>
      <vt:lpstr>F_18_240</vt:lpstr>
      <vt:lpstr>F_18_270</vt:lpstr>
      <vt:lpstr>F_18_30</vt:lpstr>
      <vt:lpstr>F_18_300</vt:lpstr>
      <vt:lpstr>F_18_330</vt:lpstr>
      <vt:lpstr>F_18_360</vt:lpstr>
      <vt:lpstr>F_18_390</vt:lpstr>
      <vt:lpstr>F_18_420</vt:lpstr>
      <vt:lpstr>F_18_450</vt:lpstr>
      <vt:lpstr>F_18_480</vt:lpstr>
      <vt:lpstr>F_18_510</vt:lpstr>
      <vt:lpstr>F_18_540</vt:lpstr>
      <vt:lpstr>F_18_570</vt:lpstr>
      <vt:lpstr>F_18_60</vt:lpstr>
      <vt:lpstr>F_18_600</vt:lpstr>
      <vt:lpstr>F_18_630</vt:lpstr>
      <vt:lpstr>F_18_660</vt:lpstr>
      <vt:lpstr>F_18_690</vt:lpstr>
      <vt:lpstr>F_18_720</vt:lpstr>
      <vt:lpstr>F_18_90</vt:lpstr>
      <vt:lpstr>F_19_120</vt:lpstr>
      <vt:lpstr>F_19_150</vt:lpstr>
      <vt:lpstr>F_19_180</vt:lpstr>
      <vt:lpstr>F_19_210</vt:lpstr>
      <vt:lpstr>F_19_240</vt:lpstr>
      <vt:lpstr>F_19_270</vt:lpstr>
      <vt:lpstr>F_19_30</vt:lpstr>
      <vt:lpstr>F_19_300</vt:lpstr>
      <vt:lpstr>F_19_330</vt:lpstr>
      <vt:lpstr>F_19_360</vt:lpstr>
      <vt:lpstr>F_19_390</vt:lpstr>
      <vt:lpstr>F_19_420</vt:lpstr>
      <vt:lpstr>F_19_450</vt:lpstr>
      <vt:lpstr>F_19_480</vt:lpstr>
      <vt:lpstr>F_19_510</vt:lpstr>
      <vt:lpstr>F_19_540</vt:lpstr>
      <vt:lpstr>F_19_570</vt:lpstr>
      <vt:lpstr>F_19_60</vt:lpstr>
      <vt:lpstr>F_19_600</vt:lpstr>
      <vt:lpstr>F_19_630</vt:lpstr>
      <vt:lpstr>F_19_660</vt:lpstr>
      <vt:lpstr>F_19_690</vt:lpstr>
      <vt:lpstr>F_19_720</vt:lpstr>
      <vt:lpstr>F_19_90</vt:lpstr>
      <vt:lpstr>F_20_120</vt:lpstr>
      <vt:lpstr>F_20_150</vt:lpstr>
      <vt:lpstr>F_20_180</vt:lpstr>
      <vt:lpstr>F_20_210</vt:lpstr>
      <vt:lpstr>F_20_240</vt:lpstr>
      <vt:lpstr>F_20_270</vt:lpstr>
      <vt:lpstr>F_20_30</vt:lpstr>
      <vt:lpstr>F_20_300</vt:lpstr>
      <vt:lpstr>F_20_330</vt:lpstr>
      <vt:lpstr>F_20_360</vt:lpstr>
      <vt:lpstr>F_20_390</vt:lpstr>
      <vt:lpstr>F_20_420</vt:lpstr>
      <vt:lpstr>F_20_450</vt:lpstr>
      <vt:lpstr>F_20_480</vt:lpstr>
      <vt:lpstr>F_20_510</vt:lpstr>
      <vt:lpstr>F_20_540</vt:lpstr>
      <vt:lpstr>F_20_570</vt:lpstr>
      <vt:lpstr>F_20_60</vt:lpstr>
      <vt:lpstr>F_20_600</vt:lpstr>
      <vt:lpstr>F_20_630</vt:lpstr>
      <vt:lpstr>F_20_660</vt:lpstr>
      <vt:lpstr>F_20_690</vt:lpstr>
      <vt:lpstr>F_20_720</vt:lpstr>
      <vt:lpstr>F_20_90</vt:lpstr>
      <vt:lpstr>FATOR</vt:lpstr>
      <vt:lpstr>G_01</vt:lpstr>
      <vt:lpstr>G_02</vt:lpstr>
      <vt:lpstr>G_03</vt:lpstr>
      <vt:lpstr>G_04</vt:lpstr>
      <vt:lpstr>G_05</vt:lpstr>
      <vt:lpstr>G_06</vt:lpstr>
      <vt:lpstr>G_07</vt:lpstr>
      <vt:lpstr>G_08</vt:lpstr>
      <vt:lpstr>G_09</vt:lpstr>
      <vt:lpstr>G_10</vt:lpstr>
      <vt:lpstr>G_11</vt:lpstr>
      <vt:lpstr>G_12</vt:lpstr>
      <vt:lpstr>G_13</vt:lpstr>
      <vt:lpstr>G_14</vt:lpstr>
      <vt:lpstr>G_15</vt:lpstr>
      <vt:lpstr>G_16</vt:lpstr>
      <vt:lpstr>G_17</vt:lpstr>
      <vt:lpstr>G_18</vt:lpstr>
      <vt:lpstr>G_19</vt:lpstr>
      <vt:lpstr>G_20</vt:lpstr>
      <vt:lpstr>Preço_Unitário</vt:lpstr>
      <vt:lpstr>Quantidade</vt:lpstr>
      <vt:lpstr>SG_01_01</vt:lpstr>
      <vt:lpstr>SG_01_02</vt:lpstr>
      <vt:lpstr>SG_01_03</vt:lpstr>
      <vt:lpstr>SG_01_04</vt:lpstr>
      <vt:lpstr>SG_01_05</vt:lpstr>
      <vt:lpstr>SG_01_06</vt:lpstr>
      <vt:lpstr>SG_01_07</vt:lpstr>
      <vt:lpstr>SG_01_08</vt:lpstr>
      <vt:lpstr>SG_01_09</vt:lpstr>
      <vt:lpstr>SG_01_10</vt:lpstr>
      <vt:lpstr>SG_01_11</vt:lpstr>
      <vt:lpstr>SG_01_12</vt:lpstr>
      <vt:lpstr>SG_01_13</vt:lpstr>
      <vt:lpstr>SG_01_14</vt:lpstr>
      <vt:lpstr>SG_01_15</vt:lpstr>
      <vt:lpstr>SG_01_16</vt:lpstr>
      <vt:lpstr>SG_01_17</vt:lpstr>
      <vt:lpstr>SG_01_18</vt:lpstr>
      <vt:lpstr>SG_01_19</vt:lpstr>
      <vt:lpstr>SG_01_20</vt:lpstr>
      <vt:lpstr>SG_02_01</vt:lpstr>
      <vt:lpstr>SG_02_02</vt:lpstr>
      <vt:lpstr>SG_02_03</vt:lpstr>
      <vt:lpstr>SG_02_04</vt:lpstr>
      <vt:lpstr>SG_02_05</vt:lpstr>
      <vt:lpstr>SG_02_06</vt:lpstr>
      <vt:lpstr>SG_02_07</vt:lpstr>
      <vt:lpstr>SG_02_08</vt:lpstr>
      <vt:lpstr>SG_02_09</vt:lpstr>
      <vt:lpstr>SG_02_10</vt:lpstr>
      <vt:lpstr>SG_02_11</vt:lpstr>
      <vt:lpstr>SG_02_12</vt:lpstr>
      <vt:lpstr>SG_02_13</vt:lpstr>
      <vt:lpstr>SG_02_14</vt:lpstr>
      <vt:lpstr>SG_02_15</vt:lpstr>
      <vt:lpstr>SG_02_16</vt:lpstr>
      <vt:lpstr>SG_02_17</vt:lpstr>
      <vt:lpstr>SG_02_18</vt:lpstr>
      <vt:lpstr>SG_02_19</vt:lpstr>
      <vt:lpstr>SG_02_20</vt:lpstr>
      <vt:lpstr>SG_03_01</vt:lpstr>
      <vt:lpstr>SG_03_02</vt:lpstr>
      <vt:lpstr>SG_03_03</vt:lpstr>
      <vt:lpstr>SG_03_04</vt:lpstr>
      <vt:lpstr>SG_03_05</vt:lpstr>
      <vt:lpstr>SG_03_06</vt:lpstr>
      <vt:lpstr>SG_03_07</vt:lpstr>
      <vt:lpstr>SG_03_08</vt:lpstr>
      <vt:lpstr>SG_03_09</vt:lpstr>
      <vt:lpstr>SG_03_10</vt:lpstr>
      <vt:lpstr>SG_03_11</vt:lpstr>
      <vt:lpstr>SG_03_12</vt:lpstr>
      <vt:lpstr>SG_03_13</vt:lpstr>
      <vt:lpstr>SG_03_14</vt:lpstr>
      <vt:lpstr>SG_03_15</vt:lpstr>
      <vt:lpstr>SG_03_16</vt:lpstr>
      <vt:lpstr>SG_03_17</vt:lpstr>
      <vt:lpstr>SG_03_18</vt:lpstr>
      <vt:lpstr>SG_03_19</vt:lpstr>
      <vt:lpstr>SG_03_20</vt:lpstr>
      <vt:lpstr>SG_04_01</vt:lpstr>
      <vt:lpstr>SG_04_02</vt:lpstr>
      <vt:lpstr>SG_04_03</vt:lpstr>
      <vt:lpstr>SG_04_04</vt:lpstr>
      <vt:lpstr>SG_04_05</vt:lpstr>
      <vt:lpstr>SG_04_06</vt:lpstr>
      <vt:lpstr>SG_04_07</vt:lpstr>
      <vt:lpstr>SG_04_08</vt:lpstr>
      <vt:lpstr>SG_04_09</vt:lpstr>
      <vt:lpstr>SG_04_10</vt:lpstr>
      <vt:lpstr>SG_04_11</vt:lpstr>
      <vt:lpstr>SG_04_12</vt:lpstr>
      <vt:lpstr>SG_04_13</vt:lpstr>
      <vt:lpstr>SG_04_14</vt:lpstr>
      <vt:lpstr>SG_04_15</vt:lpstr>
      <vt:lpstr>SG_04_16</vt:lpstr>
      <vt:lpstr>SG_04_17</vt:lpstr>
      <vt:lpstr>SG_04_18</vt:lpstr>
      <vt:lpstr>SG_04_19</vt:lpstr>
      <vt:lpstr>SG_04_20</vt:lpstr>
      <vt:lpstr>SG_05_01</vt:lpstr>
      <vt:lpstr>SG_05_02</vt:lpstr>
      <vt:lpstr>SG_05_03</vt:lpstr>
      <vt:lpstr>SG_05_04</vt:lpstr>
      <vt:lpstr>SG_05_05</vt:lpstr>
      <vt:lpstr>SG_05_06</vt:lpstr>
      <vt:lpstr>SG_05_07</vt:lpstr>
      <vt:lpstr>SG_05_08</vt:lpstr>
      <vt:lpstr>SG_05_09</vt:lpstr>
      <vt:lpstr>SG_05_10</vt:lpstr>
      <vt:lpstr>SG_05_11</vt:lpstr>
      <vt:lpstr>SG_05_12</vt:lpstr>
      <vt:lpstr>SG_05_13</vt:lpstr>
      <vt:lpstr>SG_05_14</vt:lpstr>
      <vt:lpstr>SG_05_15</vt:lpstr>
      <vt:lpstr>SG_05_16</vt:lpstr>
      <vt:lpstr>SG_05_17</vt:lpstr>
      <vt:lpstr>SG_05_18</vt:lpstr>
      <vt:lpstr>SG_05_19</vt:lpstr>
      <vt:lpstr>SG_05_20</vt:lpstr>
      <vt:lpstr>SG_06_01</vt:lpstr>
      <vt:lpstr>SG_06_02</vt:lpstr>
      <vt:lpstr>SG_06_03</vt:lpstr>
      <vt:lpstr>SG_06_04</vt:lpstr>
      <vt:lpstr>SG_06_05</vt:lpstr>
      <vt:lpstr>SG_06_06</vt:lpstr>
      <vt:lpstr>SG_06_07</vt:lpstr>
      <vt:lpstr>SG_06_08</vt:lpstr>
      <vt:lpstr>SG_06_09</vt:lpstr>
      <vt:lpstr>SG_06_10</vt:lpstr>
      <vt:lpstr>SG_06_11</vt:lpstr>
      <vt:lpstr>SG_06_12</vt:lpstr>
      <vt:lpstr>SG_06_13</vt:lpstr>
      <vt:lpstr>SG_06_14</vt:lpstr>
      <vt:lpstr>SG_06_15</vt:lpstr>
      <vt:lpstr>SG_06_16</vt:lpstr>
      <vt:lpstr>SG_06_17</vt:lpstr>
      <vt:lpstr>SG_06_18</vt:lpstr>
      <vt:lpstr>SG_06_19</vt:lpstr>
      <vt:lpstr>SG_06_20</vt:lpstr>
      <vt:lpstr>SG_07_01</vt:lpstr>
      <vt:lpstr>SG_07_02</vt:lpstr>
      <vt:lpstr>SG_07_03</vt:lpstr>
      <vt:lpstr>SG_07_04</vt:lpstr>
      <vt:lpstr>SG_07_05</vt:lpstr>
      <vt:lpstr>SG_07_06</vt:lpstr>
      <vt:lpstr>SG_07_07</vt:lpstr>
      <vt:lpstr>SG_07_08</vt:lpstr>
      <vt:lpstr>SG_07_09</vt:lpstr>
      <vt:lpstr>SG_07_10</vt:lpstr>
      <vt:lpstr>SG_07_11</vt:lpstr>
      <vt:lpstr>SG_07_12</vt:lpstr>
      <vt:lpstr>SG_07_13</vt:lpstr>
      <vt:lpstr>SG_07_14</vt:lpstr>
      <vt:lpstr>SG_07_15</vt:lpstr>
      <vt:lpstr>SG_07_16</vt:lpstr>
      <vt:lpstr>SG_07_17</vt:lpstr>
      <vt:lpstr>SG_07_18</vt:lpstr>
      <vt:lpstr>SG_07_19</vt:lpstr>
      <vt:lpstr>SG_07_20</vt:lpstr>
      <vt:lpstr>SG_08_01</vt:lpstr>
      <vt:lpstr>SG_08_02</vt:lpstr>
      <vt:lpstr>SG_08_03</vt:lpstr>
      <vt:lpstr>SG_08_04</vt:lpstr>
      <vt:lpstr>SG_08_05</vt:lpstr>
      <vt:lpstr>SG_08_06</vt:lpstr>
      <vt:lpstr>SG_08_07</vt:lpstr>
      <vt:lpstr>SG_08_08</vt:lpstr>
      <vt:lpstr>SG_08_09</vt:lpstr>
      <vt:lpstr>SG_08_10</vt:lpstr>
      <vt:lpstr>SG_08_11</vt:lpstr>
      <vt:lpstr>SG_08_12</vt:lpstr>
      <vt:lpstr>SG_08_13</vt:lpstr>
      <vt:lpstr>SG_08_14</vt:lpstr>
      <vt:lpstr>SG_08_15</vt:lpstr>
      <vt:lpstr>SG_08_16</vt:lpstr>
      <vt:lpstr>SG_08_17</vt:lpstr>
      <vt:lpstr>SG_08_18</vt:lpstr>
      <vt:lpstr>SG_08_19</vt:lpstr>
      <vt:lpstr>SG_08_20</vt:lpstr>
      <vt:lpstr>SG_09_01</vt:lpstr>
      <vt:lpstr>SG_09_02</vt:lpstr>
      <vt:lpstr>SG_09_03</vt:lpstr>
      <vt:lpstr>SG_09_04</vt:lpstr>
      <vt:lpstr>SG_09_05</vt:lpstr>
      <vt:lpstr>SG_09_06</vt:lpstr>
      <vt:lpstr>SG_09_07</vt:lpstr>
      <vt:lpstr>SG_09_08</vt:lpstr>
      <vt:lpstr>SG_09_09</vt:lpstr>
      <vt:lpstr>SG_09_10</vt:lpstr>
      <vt:lpstr>SG_09_11</vt:lpstr>
      <vt:lpstr>SG_09_12</vt:lpstr>
      <vt:lpstr>SG_09_13</vt:lpstr>
      <vt:lpstr>SG_09_14</vt:lpstr>
      <vt:lpstr>SG_09_15</vt:lpstr>
      <vt:lpstr>SG_09_16</vt:lpstr>
      <vt:lpstr>SG_09_17</vt:lpstr>
      <vt:lpstr>SG_09_18</vt:lpstr>
      <vt:lpstr>SG_09_19</vt:lpstr>
      <vt:lpstr>SG_09_20</vt:lpstr>
      <vt:lpstr>SG_10_01</vt:lpstr>
      <vt:lpstr>SG_10_02</vt:lpstr>
      <vt:lpstr>SG_10_03</vt:lpstr>
      <vt:lpstr>SG_10_04</vt:lpstr>
      <vt:lpstr>SG_10_05</vt:lpstr>
      <vt:lpstr>SG_10_06</vt:lpstr>
      <vt:lpstr>SG_10_07</vt:lpstr>
      <vt:lpstr>SG_10_08</vt:lpstr>
      <vt:lpstr>SG_10_09</vt:lpstr>
      <vt:lpstr>SG_10_10</vt:lpstr>
      <vt:lpstr>SG_10_11</vt:lpstr>
      <vt:lpstr>SG_10_12</vt:lpstr>
      <vt:lpstr>SG_10_13</vt:lpstr>
      <vt:lpstr>SG_10_14</vt:lpstr>
      <vt:lpstr>SG_10_15</vt:lpstr>
      <vt:lpstr>SG_10_16</vt:lpstr>
      <vt:lpstr>SG_10_17</vt:lpstr>
      <vt:lpstr>SG_10_18</vt:lpstr>
      <vt:lpstr>SG_10_19</vt:lpstr>
      <vt:lpstr>SG_10_20</vt:lpstr>
      <vt:lpstr>SG_11_01</vt:lpstr>
      <vt:lpstr>SG_11_02</vt:lpstr>
      <vt:lpstr>SG_11_03</vt:lpstr>
      <vt:lpstr>SG_11_04</vt:lpstr>
      <vt:lpstr>SG_11_05</vt:lpstr>
      <vt:lpstr>SG_11_06</vt:lpstr>
      <vt:lpstr>SG_11_07</vt:lpstr>
      <vt:lpstr>SG_11_08</vt:lpstr>
      <vt:lpstr>SG_11_09</vt:lpstr>
      <vt:lpstr>SG_11_10</vt:lpstr>
      <vt:lpstr>SG_11_11</vt:lpstr>
      <vt:lpstr>SG_11_12</vt:lpstr>
      <vt:lpstr>SG_11_13</vt:lpstr>
      <vt:lpstr>SG_11_14</vt:lpstr>
      <vt:lpstr>SG_11_15</vt:lpstr>
      <vt:lpstr>SG_11_16</vt:lpstr>
      <vt:lpstr>SG_11_17</vt:lpstr>
      <vt:lpstr>SG_11_18</vt:lpstr>
      <vt:lpstr>SG_11_19</vt:lpstr>
      <vt:lpstr>SG_11_20</vt:lpstr>
      <vt:lpstr>SG_12_01</vt:lpstr>
      <vt:lpstr>SG_12_02</vt:lpstr>
      <vt:lpstr>SG_12_03</vt:lpstr>
      <vt:lpstr>SG_12_04</vt:lpstr>
      <vt:lpstr>SG_12_05</vt:lpstr>
      <vt:lpstr>SG_12_06</vt:lpstr>
      <vt:lpstr>SG_12_07</vt:lpstr>
      <vt:lpstr>SG_12_08</vt:lpstr>
      <vt:lpstr>SG_12_09</vt:lpstr>
      <vt:lpstr>SG_12_10</vt:lpstr>
      <vt:lpstr>SG_12_11</vt:lpstr>
      <vt:lpstr>SG_12_12</vt:lpstr>
      <vt:lpstr>SG_12_13</vt:lpstr>
      <vt:lpstr>SG_12_14</vt:lpstr>
      <vt:lpstr>SG_12_15</vt:lpstr>
      <vt:lpstr>SG_12_16</vt:lpstr>
      <vt:lpstr>SG_12_17</vt:lpstr>
      <vt:lpstr>SG_12_18</vt:lpstr>
      <vt:lpstr>SG_12_19</vt:lpstr>
      <vt:lpstr>SG_12_20</vt:lpstr>
      <vt:lpstr>SG_13_01</vt:lpstr>
      <vt:lpstr>SG_13_02</vt:lpstr>
      <vt:lpstr>SG_13_03</vt:lpstr>
      <vt:lpstr>SG_13_04</vt:lpstr>
      <vt:lpstr>SG_13_05</vt:lpstr>
      <vt:lpstr>SG_13_06</vt:lpstr>
      <vt:lpstr>SG_13_07</vt:lpstr>
      <vt:lpstr>SG_13_08</vt:lpstr>
      <vt:lpstr>SG_13_09</vt:lpstr>
      <vt:lpstr>SG_13_10</vt:lpstr>
      <vt:lpstr>SG_13_11</vt:lpstr>
      <vt:lpstr>SG_13_12</vt:lpstr>
      <vt:lpstr>SG_13_13</vt:lpstr>
      <vt:lpstr>SG_13_14</vt:lpstr>
      <vt:lpstr>SG_13_15</vt:lpstr>
      <vt:lpstr>SG_13_16</vt:lpstr>
      <vt:lpstr>SG_13_17</vt:lpstr>
      <vt:lpstr>SG_13_18</vt:lpstr>
      <vt:lpstr>SG_13_19</vt:lpstr>
      <vt:lpstr>SG_13_20</vt:lpstr>
      <vt:lpstr>SG_14_01</vt:lpstr>
      <vt:lpstr>SG_14_02</vt:lpstr>
      <vt:lpstr>SG_14_03</vt:lpstr>
      <vt:lpstr>SG_14_04</vt:lpstr>
      <vt:lpstr>SG_14_05</vt:lpstr>
      <vt:lpstr>SG_14_06</vt:lpstr>
      <vt:lpstr>SG_14_07</vt:lpstr>
      <vt:lpstr>SG_14_08</vt:lpstr>
      <vt:lpstr>SG_14_09</vt:lpstr>
      <vt:lpstr>SG_14_10</vt:lpstr>
      <vt:lpstr>SG_14_11</vt:lpstr>
      <vt:lpstr>SG_14_12</vt:lpstr>
      <vt:lpstr>SG_14_13</vt:lpstr>
      <vt:lpstr>SG_14_14</vt:lpstr>
      <vt:lpstr>SG_14_15</vt:lpstr>
      <vt:lpstr>SG_14_16</vt:lpstr>
      <vt:lpstr>SG_14_17</vt:lpstr>
      <vt:lpstr>SG_14_18</vt:lpstr>
      <vt:lpstr>SG_14_19</vt:lpstr>
      <vt:lpstr>SG_14_20</vt:lpstr>
      <vt:lpstr>SG_15_01</vt:lpstr>
      <vt:lpstr>SG_15_02</vt:lpstr>
      <vt:lpstr>SG_15_03</vt:lpstr>
      <vt:lpstr>SG_15_04</vt:lpstr>
      <vt:lpstr>SG_15_05</vt:lpstr>
      <vt:lpstr>SG_15_06</vt:lpstr>
      <vt:lpstr>SG_15_07</vt:lpstr>
      <vt:lpstr>SG_15_08</vt:lpstr>
      <vt:lpstr>SG_15_09</vt:lpstr>
      <vt:lpstr>SG_15_10</vt:lpstr>
      <vt:lpstr>SG_15_11</vt:lpstr>
      <vt:lpstr>SG_15_12</vt:lpstr>
      <vt:lpstr>SG_15_13</vt:lpstr>
      <vt:lpstr>SG_15_14</vt:lpstr>
      <vt:lpstr>SG_15_15</vt:lpstr>
      <vt:lpstr>SG_15_16</vt:lpstr>
      <vt:lpstr>SG_15_17</vt:lpstr>
      <vt:lpstr>SG_15_18</vt:lpstr>
      <vt:lpstr>SG_15_19</vt:lpstr>
      <vt:lpstr>SG_15_20</vt:lpstr>
      <vt:lpstr>SG_16_01</vt:lpstr>
      <vt:lpstr>SG_16_02</vt:lpstr>
      <vt:lpstr>SG_16_03</vt:lpstr>
      <vt:lpstr>SG_16_04</vt:lpstr>
      <vt:lpstr>SG_16_05</vt:lpstr>
      <vt:lpstr>SG_16_06</vt:lpstr>
      <vt:lpstr>SG_16_07</vt:lpstr>
      <vt:lpstr>SG_16_08</vt:lpstr>
      <vt:lpstr>SG_16_09</vt:lpstr>
      <vt:lpstr>SG_16_10</vt:lpstr>
      <vt:lpstr>SG_16_11</vt:lpstr>
      <vt:lpstr>SG_16_12</vt:lpstr>
      <vt:lpstr>SG_16_13</vt:lpstr>
      <vt:lpstr>SG_16_14</vt:lpstr>
      <vt:lpstr>SG_16_15</vt:lpstr>
      <vt:lpstr>SG_16_16</vt:lpstr>
      <vt:lpstr>SG_16_17</vt:lpstr>
      <vt:lpstr>SG_16_18</vt:lpstr>
      <vt:lpstr>SG_16_19</vt:lpstr>
      <vt:lpstr>SG_16_20</vt:lpstr>
      <vt:lpstr>SG_17_01</vt:lpstr>
      <vt:lpstr>SG_17_02</vt:lpstr>
      <vt:lpstr>SG_17_03</vt:lpstr>
      <vt:lpstr>SG_17_04</vt:lpstr>
      <vt:lpstr>SG_17_05</vt:lpstr>
      <vt:lpstr>SG_17_06</vt:lpstr>
      <vt:lpstr>SG_17_07</vt:lpstr>
      <vt:lpstr>SG_17_08</vt:lpstr>
      <vt:lpstr>SG_17_09</vt:lpstr>
      <vt:lpstr>SG_17_10</vt:lpstr>
      <vt:lpstr>SG_17_11</vt:lpstr>
      <vt:lpstr>SG_17_12</vt:lpstr>
      <vt:lpstr>SG_17_13</vt:lpstr>
      <vt:lpstr>SG_17_14</vt:lpstr>
      <vt:lpstr>SG_17_15</vt:lpstr>
      <vt:lpstr>SG_17_16</vt:lpstr>
      <vt:lpstr>SG_17_17</vt:lpstr>
      <vt:lpstr>SG_17_18</vt:lpstr>
      <vt:lpstr>SG_17_19</vt:lpstr>
      <vt:lpstr>SG_17_20</vt:lpstr>
      <vt:lpstr>SG_18_01</vt:lpstr>
      <vt:lpstr>SG_18_02</vt:lpstr>
      <vt:lpstr>SG_18_03</vt:lpstr>
      <vt:lpstr>SG_18_04</vt:lpstr>
      <vt:lpstr>SG_18_05</vt:lpstr>
      <vt:lpstr>SG_18_06</vt:lpstr>
      <vt:lpstr>SG_18_07</vt:lpstr>
      <vt:lpstr>SG_18_08</vt:lpstr>
      <vt:lpstr>SG_18_09</vt:lpstr>
      <vt:lpstr>SG_18_10</vt:lpstr>
      <vt:lpstr>SG_18_11</vt:lpstr>
      <vt:lpstr>SG_18_12</vt:lpstr>
      <vt:lpstr>SG_18_13</vt:lpstr>
      <vt:lpstr>SG_18_14</vt:lpstr>
      <vt:lpstr>SG_18_15</vt:lpstr>
      <vt:lpstr>SG_18_16</vt:lpstr>
      <vt:lpstr>SG_18_17</vt:lpstr>
      <vt:lpstr>SG_18_18</vt:lpstr>
      <vt:lpstr>SG_18_19</vt:lpstr>
      <vt:lpstr>SG_18_20</vt:lpstr>
      <vt:lpstr>SG_19_01</vt:lpstr>
      <vt:lpstr>SG_19_02</vt:lpstr>
      <vt:lpstr>SG_19_03</vt:lpstr>
      <vt:lpstr>SG_19_04</vt:lpstr>
      <vt:lpstr>SG_19_05</vt:lpstr>
      <vt:lpstr>SG_19_06</vt:lpstr>
      <vt:lpstr>SG_19_07</vt:lpstr>
      <vt:lpstr>SG_19_08</vt:lpstr>
      <vt:lpstr>SG_19_09</vt:lpstr>
      <vt:lpstr>SG_19_10</vt:lpstr>
      <vt:lpstr>SG_19_11</vt:lpstr>
      <vt:lpstr>SG_19_12</vt:lpstr>
      <vt:lpstr>SG_19_13</vt:lpstr>
      <vt:lpstr>SG_19_14</vt:lpstr>
      <vt:lpstr>SG_19_15</vt:lpstr>
      <vt:lpstr>SG_19_16</vt:lpstr>
      <vt:lpstr>SG_19_17</vt:lpstr>
      <vt:lpstr>SG_19_18</vt:lpstr>
      <vt:lpstr>SG_19_19</vt:lpstr>
      <vt:lpstr>SG_19_20</vt:lpstr>
      <vt:lpstr>SG_20_01</vt:lpstr>
      <vt:lpstr>SG_20_02</vt:lpstr>
      <vt:lpstr>SG_20_03</vt:lpstr>
      <vt:lpstr>SG_20_04</vt:lpstr>
      <vt:lpstr>SG_20_05</vt:lpstr>
      <vt:lpstr>SG_20_06</vt:lpstr>
      <vt:lpstr>SG_20_07</vt:lpstr>
      <vt:lpstr>SG_20_08</vt:lpstr>
      <vt:lpstr>SG_20_09</vt:lpstr>
      <vt:lpstr>SG_20_10</vt:lpstr>
      <vt:lpstr>SG_20_11</vt:lpstr>
      <vt:lpstr>SG_20_12</vt:lpstr>
      <vt:lpstr>SG_20_13</vt:lpstr>
      <vt:lpstr>SG_20_14</vt:lpstr>
      <vt:lpstr>SG_20_15</vt:lpstr>
      <vt:lpstr>SG_20_16</vt:lpstr>
      <vt:lpstr>SG_20_17</vt:lpstr>
      <vt:lpstr>SG_20_18</vt:lpstr>
      <vt:lpstr>SG_20_19</vt:lpstr>
      <vt:lpstr>SG_20_20</vt:lpstr>
      <vt:lpstr>Financeiro!Titulos_de_impressao</vt:lpstr>
      <vt:lpstr>Fisico!Titulos_de_impressao</vt:lpstr>
      <vt:lpstr>Planilha!Titulos_de_impressao</vt:lpstr>
      <vt:lpstr>Resumo!Titulos_de_impressao</vt:lpstr>
      <vt:lpstr>TOTAL_GERAL</vt:lpstr>
      <vt:lpstr>TOTAL_RESUMO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Modelo de orçamento - 20 grupos</dc:subject>
  <dc:creator>Dalton Porto</dc:creator>
  <cp:lastModifiedBy>Dalton Porto</cp:lastModifiedBy>
  <cp:lastPrinted>2005-07-22T12:19:14Z</cp:lastPrinted>
  <dcterms:created xsi:type="dcterms:W3CDTF">1997-05-28T08:39:56Z</dcterms:created>
  <dcterms:modified xsi:type="dcterms:W3CDTF">2021-10-08T19:29:47Z</dcterms:modified>
</cp:coreProperties>
</file>